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" sheetId="4" r:id="rId4"/>
  </sheets>
  <definedNames>
    <definedName name="_xlnm.Print_Area" localSheetId="0">'квітень'!$A$1:$X$109</definedName>
  </definedNames>
  <calcPr fullCalcOnLoad="1"/>
</workbook>
</file>

<file path=xl/sharedStrings.xml><?xml version="1.0" encoding="utf-8"?>
<sst xmlns="http://schemas.openxmlformats.org/spreadsheetml/2006/main" count="616" uniqueCount="174">
  <si>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</si>
  <si>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</si>
  <si>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</si>
  <si>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</si>
  <si>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</si>
  <si>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</si>
  <si>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</si>
  <si>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</si>
  <si>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</si>
  <si>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</si>
  <si>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</si>
  <si>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</si>
  <si>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</si>
  <si>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</si>
  <si>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</si>
  <si>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</si>
  <si>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</si>
  <si>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</si>
  <si>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</si>
  <si>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</si>
  <si>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</si>
  <si>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</si>
  <si>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</si>
  <si>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</si>
  <si>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</si>
  <si>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</si>
  <si>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</si>
  <si>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</si>
  <si>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</si>
  <si>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</si>
  <si>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</si>
  <si>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</si>
  <si>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</si>
  <si>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</si>
  <si>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</si>
  <si>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</si>
  <si>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</si>
  <si>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</si>
  <si>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</si>
  <si>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</si>
  <si>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</si>
  <si>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</si>
  <si>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</si>
  <si>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</si>
  <si>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</si>
  <si>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</si>
  <si>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</si>
  <si>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</si>
  <si>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</si>
  <si>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</si>
  <si>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</si>
  <si>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</si>
  <si>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</si>
  <si>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</si>
  <si>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</si>
  <si>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</si>
  <si>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</si>
  <si>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</si>
  <si>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</si>
  <si>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</si>
  <si>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</si>
  <si>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</si>
  <si>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</si>
  <si>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</si>
  <si>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</si>
  <si>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</si>
  <si>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</si>
  <si>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</si>
  <si>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</si>
  <si>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</si>
  <si>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</si>
  <si>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</si>
  <si>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</si>
  <si>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</si>
  <si>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</si>
  <si>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</si>
  <si>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</si>
  <si>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</si>
  <si>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</si>
  <si>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</si>
  <si>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</si>
  <si>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</si>
  <si>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</si>
  <si>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</si>
  <si>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</si>
  <si>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</si>
  <si>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</si>
  <si>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</si>
  <si>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</si>
  <si>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</si>
  <si>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</si>
  <si>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</si>
  <si>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</si>
  <si>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</si>
  <si>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</si>
  <si>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</si>
  <si>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</si>
  <si>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</si>
  <si>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</si>
  <si>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</si>
  <si>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</si>
  <si>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</si>
  <si>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</si>
  <si>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</si>
  <si>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</si>
  <si>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</si>
  <si>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</si>
  <si>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</si>
  <si>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</si>
  <si>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</si>
  <si>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</si>
  <si>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</si>
  <si>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</si>
  <si>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</si>
  <si>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</si>
  <si>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</si>
  <si>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</si>
  <si>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</si>
  <si>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</si>
  <si>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</si>
  <si>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</si>
  <si>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</si>
  <si>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</si>
  <si>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</si>
  <si>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</si>
  <si>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</si>
  <si>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</si>
  <si>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</si>
  <si>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</si>
  <si>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</si>
  <si>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</si>
  <si>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</si>
  <si>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</si>
  <si>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</si>
  <si>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</si>
  <si>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</si>
  <si>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</si>
  <si>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</si>
  <si>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</si>
  <si>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</si>
  <si>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</si>
  <si>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</si>
  <si>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</si>
  <si>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</si>
  <si>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</si>
  <si>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</si>
  <si>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</si>
  <si>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</si>
  <si>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</si>
  <si>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</si>
  <si>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</si>
  <si>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</si>
  <si>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</si>
  <si>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</si>
  <si>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</si>
  <si>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</si>
  <si>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</si>
  <si>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</si>
  <si>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</si>
  <si>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</si>
  <si>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</si>
  <si>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</si>
  <si>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Уточнений план на 2018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</si>
  <si>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</si>
  <si>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</si>
  <si>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січень-квітень</t>
  </si>
  <si>
    <t>Відхилення (+,-) до  плану на січень-квітень 2018 року</t>
  </si>
  <si>
    <t>% виконання  плану на січень- квітень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</si>
  <si>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</si>
  <si>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t>Виконано у квітні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</si>
  <si>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</si>
  <si>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13.04.2018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</si>
  <si>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12.04.18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</si>
  <si>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ж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</si>
</sst>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2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5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4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1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0" fontId="6" fillId="0" borderId="0" xfId="55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Border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0" fontId="7" fillId="41" borderId="10" xfId="0" applyFont="1" applyFill="1" applyBorder="1" applyAlignment="1">
      <alignment wrapText="1"/>
    </xf>
    <xf numFmtId="191" fontId="33" fillId="0" borderId="0" xfId="0" applyNumberFormat="1" applyFont="1" applyAlignment="1" applyProtection="1">
      <alignment horizontal="center"/>
      <protection/>
    </xf>
    <xf numFmtId="191" fontId="2" fillId="0" borderId="0" xfId="0" applyNumberFormat="1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1" fillId="0" borderId="0" xfId="55" applyFont="1" applyAlignment="1" applyProtection="1">
      <alignment horizontal="center"/>
      <protection/>
    </xf>
    <xf numFmtId="0" fontId="41" fillId="0" borderId="0" xfId="55" applyFont="1" applyBorder="1" applyAlignment="1" applyProtection="1">
      <alignment horizontal="center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23" fillId="13" borderId="17" xfId="55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8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35" fillId="37" borderId="18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0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09"/>
  <sheetViews>
    <sheetView tabSelected="1" zoomScale="72" zoomScaleNormal="72" zoomScalePageLayoutView="0" workbookViewId="0" topLeftCell="B1">
      <pane xSplit="3" ySplit="8" topLeftCell="E104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111" sqref="B11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300" t="s">
        <v>171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186"/>
    </row>
    <row r="2" spans="2:25" s="1" customFormat="1" ht="15.75" customHeight="1">
      <c r="B2" s="301"/>
      <c r="C2" s="301"/>
      <c r="D2" s="301"/>
      <c r="E2" s="301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02"/>
      <c r="B3" s="304"/>
      <c r="C3" s="305" t="s">
        <v>0</v>
      </c>
      <c r="D3" s="306" t="s">
        <v>131</v>
      </c>
      <c r="E3" s="306" t="s">
        <v>162</v>
      </c>
      <c r="F3" s="25"/>
      <c r="G3" s="307" t="s">
        <v>26</v>
      </c>
      <c r="H3" s="308"/>
      <c r="I3" s="308"/>
      <c r="J3" s="308"/>
      <c r="K3" s="309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10" t="s">
        <v>168</v>
      </c>
      <c r="V3" s="311" t="s">
        <v>169</v>
      </c>
      <c r="W3" s="311"/>
      <c r="X3" s="311"/>
      <c r="Y3" s="194"/>
    </row>
    <row r="4" spans="1:24" ht="22.5" customHeight="1">
      <c r="A4" s="302"/>
      <c r="B4" s="304"/>
      <c r="C4" s="305"/>
      <c r="D4" s="306"/>
      <c r="E4" s="306"/>
      <c r="F4" s="294" t="s">
        <v>165</v>
      </c>
      <c r="G4" s="296" t="s">
        <v>31</v>
      </c>
      <c r="H4" s="284" t="s">
        <v>166</v>
      </c>
      <c r="I4" s="298" t="s">
        <v>167</v>
      </c>
      <c r="J4" s="284" t="s">
        <v>132</v>
      </c>
      <c r="K4" s="298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98"/>
      <c r="V4" s="282" t="s">
        <v>172</v>
      </c>
      <c r="W4" s="284" t="s">
        <v>44</v>
      </c>
      <c r="X4" s="286" t="s">
        <v>43</v>
      </c>
    </row>
    <row r="5" spans="1:24" ht="67.5" customHeight="1">
      <c r="A5" s="303"/>
      <c r="B5" s="304"/>
      <c r="C5" s="305"/>
      <c r="D5" s="306"/>
      <c r="E5" s="306"/>
      <c r="F5" s="295"/>
      <c r="G5" s="297"/>
      <c r="H5" s="285"/>
      <c r="I5" s="299"/>
      <c r="J5" s="285"/>
      <c r="K5" s="299"/>
      <c r="L5" s="287" t="s">
        <v>135</v>
      </c>
      <c r="M5" s="288"/>
      <c r="N5" s="289"/>
      <c r="O5" s="290" t="s">
        <v>153</v>
      </c>
      <c r="P5" s="291"/>
      <c r="Q5" s="292"/>
      <c r="R5" s="293" t="s">
        <v>170</v>
      </c>
      <c r="S5" s="293"/>
      <c r="T5" s="293"/>
      <c r="U5" s="299"/>
      <c r="V5" s="283"/>
      <c r="W5" s="285"/>
      <c r="X5" s="286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487888.34</v>
      </c>
      <c r="G8" s="103">
        <f>G9+G15+G18+G19+G23+G17</f>
        <v>408680.65</v>
      </c>
      <c r="H8" s="103">
        <f>G8-F8</f>
        <v>-79207.69</v>
      </c>
      <c r="I8" s="210">
        <f aca="true" t="shared" si="0" ref="I8:I15">G8/F8</f>
        <v>0.8376520127535739</v>
      </c>
      <c r="J8" s="104">
        <f aca="true" t="shared" si="1" ref="J8:J52">G8-E8</f>
        <v>-1171953.15</v>
      </c>
      <c r="K8" s="156">
        <f aca="true" t="shared" si="2" ref="K8:K14">G8/E8</f>
        <v>0.2585549227151792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400312.26</v>
      </c>
      <c r="S8" s="103">
        <f aca="true" t="shared" si="5" ref="S8:S78">G8-R8</f>
        <v>8368.390000000014</v>
      </c>
      <c r="T8" s="143">
        <f aca="true" t="shared" si="6" ref="T8:T20">G8/R8</f>
        <v>1.020904655780465</v>
      </c>
      <c r="U8" s="103">
        <f>U9+U15+U18+U19+U23+U17</f>
        <v>126345.40100000001</v>
      </c>
      <c r="V8" s="103">
        <f>V9+V15+V18+V19+V23+V17</f>
        <v>41562.54999999999</v>
      </c>
      <c r="W8" s="103">
        <f>V8-U8</f>
        <v>-84782.85100000002</v>
      </c>
      <c r="X8" s="143">
        <f aca="true" t="shared" si="7" ref="X8:X15">V8/U8</f>
        <v>0.32895973791717187</v>
      </c>
      <c r="Y8" s="199">
        <f aca="true" t="shared" si="8" ref="Y8:Y22">T8-Q8</f>
        <v>-0.16791175575066597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283716.14</v>
      </c>
      <c r="G9" s="106">
        <v>247058.78</v>
      </c>
      <c r="H9" s="102">
        <f>G9-F9</f>
        <v>-36657.360000000015</v>
      </c>
      <c r="I9" s="208">
        <f t="shared" si="0"/>
        <v>0.8707956480727532</v>
      </c>
      <c r="J9" s="108">
        <f t="shared" si="1"/>
        <v>-709144.22</v>
      </c>
      <c r="K9" s="148">
        <f t="shared" si="2"/>
        <v>0.2583748220827586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15">
        <v>223096.1</v>
      </c>
      <c r="S9" s="109">
        <f t="shared" si="5"/>
        <v>23962.679999999993</v>
      </c>
      <c r="T9" s="144">
        <f t="shared" si="6"/>
        <v>1.1074096768164032</v>
      </c>
      <c r="U9" s="107">
        <f>F9-березень!F9</f>
        <v>74519.801</v>
      </c>
      <c r="V9" s="110">
        <f>G9-березень!G9</f>
        <v>28263.25</v>
      </c>
      <c r="W9" s="111">
        <f>V9-U9</f>
        <v>-46256.55100000001</v>
      </c>
      <c r="X9" s="148">
        <f t="shared" si="7"/>
        <v>0.3792716784093398</v>
      </c>
      <c r="Y9" s="200">
        <f t="shared" si="8"/>
        <v>-0.12509371507075429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v>262178.7</v>
      </c>
      <c r="G10" s="94">
        <v>226619.79</v>
      </c>
      <c r="H10" s="71">
        <f aca="true" t="shared" si="9" ref="H10:H47">G10-F10</f>
        <v>-35558.91</v>
      </c>
      <c r="I10" s="209">
        <f t="shared" si="0"/>
        <v>0.864371476401401</v>
      </c>
      <c r="J10" s="72">
        <f t="shared" si="1"/>
        <v>-655183.21</v>
      </c>
      <c r="K10" s="75">
        <f t="shared" si="2"/>
        <v>0.2569959390022488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204365.86</v>
      </c>
      <c r="S10" s="74">
        <f t="shared" si="5"/>
        <v>22253.930000000022</v>
      </c>
      <c r="T10" s="145">
        <f t="shared" si="6"/>
        <v>1.1088926007504385</v>
      </c>
      <c r="U10" s="73">
        <f>F10-березень!F10</f>
        <v>69300</v>
      </c>
      <c r="V10" s="98">
        <f>G10-березень!G10</f>
        <v>26784.899999999994</v>
      </c>
      <c r="W10" s="74">
        <f aca="true" t="shared" si="10" ref="W10:W52">V10-U10</f>
        <v>-42515.100000000006</v>
      </c>
      <c r="X10" s="75">
        <f t="shared" si="7"/>
        <v>0.3865064935064934</v>
      </c>
      <c r="Y10" s="198">
        <f t="shared" si="8"/>
        <v>-0.13325884387255238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14534.7</v>
      </c>
      <c r="G11" s="94">
        <v>12912.96</v>
      </c>
      <c r="H11" s="71">
        <f t="shared" si="9"/>
        <v>-1621.7400000000016</v>
      </c>
      <c r="I11" s="209">
        <f t="shared" si="0"/>
        <v>0.8884228776651736</v>
      </c>
      <c r="J11" s="72">
        <f t="shared" si="1"/>
        <v>-36987.04</v>
      </c>
      <c r="K11" s="75">
        <f t="shared" si="2"/>
        <v>0.258776753507014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12429.15</v>
      </c>
      <c r="S11" s="74">
        <f t="shared" si="5"/>
        <v>483.8099999999995</v>
      </c>
      <c r="T11" s="145">
        <f t="shared" si="6"/>
        <v>1.038925429333462</v>
      </c>
      <c r="U11" s="73">
        <f>F11-березень!F11</f>
        <v>3780</v>
      </c>
      <c r="V11" s="98">
        <f>G11-березень!G11</f>
        <v>889.7699999999986</v>
      </c>
      <c r="W11" s="74">
        <f t="shared" si="10"/>
        <v>-2890.2300000000014</v>
      </c>
      <c r="X11" s="75">
        <f t="shared" si="7"/>
        <v>0.23538888888888854</v>
      </c>
      <c r="Y11" s="198">
        <f t="shared" si="8"/>
        <v>-0.13473904516003343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3144.41</v>
      </c>
      <c r="G12" s="94">
        <v>3584.08</v>
      </c>
      <c r="H12" s="71">
        <f t="shared" si="9"/>
        <v>439.6700000000001</v>
      </c>
      <c r="I12" s="209">
        <f t="shared" si="0"/>
        <v>1.1398259132873894</v>
      </c>
      <c r="J12" s="72">
        <f t="shared" si="1"/>
        <v>-8415.92</v>
      </c>
      <c r="K12" s="75">
        <f t="shared" si="2"/>
        <v>0.29867333333333335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2609.59</v>
      </c>
      <c r="S12" s="74">
        <f t="shared" si="5"/>
        <v>974.4899999999998</v>
      </c>
      <c r="T12" s="145">
        <f t="shared" si="6"/>
        <v>1.3734264769561502</v>
      </c>
      <c r="U12" s="73">
        <f>F12-березень!F12</f>
        <v>850.0009999999997</v>
      </c>
      <c r="V12" s="98">
        <f>G12-березень!G12</f>
        <v>304.92999999999984</v>
      </c>
      <c r="W12" s="74">
        <f t="shared" si="10"/>
        <v>-545.0709999999999</v>
      </c>
      <c r="X12" s="75">
        <f t="shared" si="7"/>
        <v>0.35874075442264175</v>
      </c>
      <c r="Y12" s="198">
        <f t="shared" si="8"/>
        <v>0.3727718820753323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3613.7</v>
      </c>
      <c r="G13" s="94">
        <v>3634.33</v>
      </c>
      <c r="H13" s="71">
        <f t="shared" si="9"/>
        <v>20.63000000000011</v>
      </c>
      <c r="I13" s="209">
        <f t="shared" si="0"/>
        <v>1.0057088302847497</v>
      </c>
      <c r="J13" s="72">
        <f t="shared" si="1"/>
        <v>-8365.67</v>
      </c>
      <c r="K13" s="75">
        <f t="shared" si="2"/>
        <v>0.3028608333333333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3209.33</v>
      </c>
      <c r="S13" s="74">
        <f t="shared" si="5"/>
        <v>425</v>
      </c>
      <c r="T13" s="145">
        <f t="shared" si="6"/>
        <v>1.1324263942941362</v>
      </c>
      <c r="U13" s="73">
        <f>F13-березень!F13</f>
        <v>556.7999999999997</v>
      </c>
      <c r="V13" s="98">
        <f>G13-березень!G13</f>
        <v>283.6500000000001</v>
      </c>
      <c r="W13" s="74">
        <f t="shared" si="10"/>
        <v>-273.14999999999964</v>
      </c>
      <c r="X13" s="75">
        <f t="shared" si="7"/>
        <v>0.5094288793103452</v>
      </c>
      <c r="Y13" s="198">
        <f t="shared" si="8"/>
        <v>-0.06317260578656692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244.63</v>
      </c>
      <c r="G14" s="94">
        <v>307.62</v>
      </c>
      <c r="H14" s="71">
        <f t="shared" si="9"/>
        <v>62.99000000000001</v>
      </c>
      <c r="I14" s="209">
        <f t="shared" si="0"/>
        <v>1.2574909046314844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482.17</v>
      </c>
      <c r="S14" s="74">
        <f t="shared" si="5"/>
        <v>-174.55</v>
      </c>
      <c r="T14" s="145">
        <f t="shared" si="6"/>
        <v>0.6379907501503619</v>
      </c>
      <c r="U14" s="73">
        <f>F14-березень!F14</f>
        <v>33</v>
      </c>
      <c r="V14" s="98">
        <f>G14-березень!G14</f>
        <v>0</v>
      </c>
      <c r="W14" s="74">
        <f t="shared" si="10"/>
        <v>-33</v>
      </c>
      <c r="X14" s="75">
        <f t="shared" si="7"/>
        <v>0</v>
      </c>
      <c r="Y14" s="198">
        <f t="shared" si="8"/>
        <v>0.2747981418463261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65</v>
      </c>
      <c r="G15" s="106">
        <v>337.62</v>
      </c>
      <c r="H15" s="102">
        <f t="shared" si="9"/>
        <v>272.62</v>
      </c>
      <c r="I15" s="208">
        <f t="shared" si="0"/>
        <v>5.194153846153847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-316.36</v>
      </c>
      <c r="S15" s="111">
        <f t="shared" si="5"/>
        <v>653.98</v>
      </c>
      <c r="T15" s="146">
        <f t="shared" si="6"/>
        <v>-1.0672019218611708</v>
      </c>
      <c r="U15" s="107">
        <f>F15-березень!F15</f>
        <v>5</v>
      </c>
      <c r="V15" s="110">
        <f>G15-березень!G15</f>
        <v>0</v>
      </c>
      <c r="W15" s="111">
        <f t="shared" si="10"/>
        <v>-5</v>
      </c>
      <c r="X15" s="148">
        <f t="shared" si="7"/>
        <v>0</v>
      </c>
      <c r="Y15" s="197">
        <f t="shared" si="8"/>
        <v>-2.08116075513254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F16-березень!F16</f>
        <v>0</v>
      </c>
      <c r="V16" s="110">
        <f>G16-березень!G16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F17-березень!F17</f>
        <v>0</v>
      </c>
      <c r="V17" s="110">
        <f>G17-березень!G17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F18-березень!F18</f>
        <v>0</v>
      </c>
      <c r="V18" s="110">
        <f>G18-березень!G18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44990</v>
      </c>
      <c r="G19" s="158">
        <v>29517.49</v>
      </c>
      <c r="H19" s="102">
        <f t="shared" si="9"/>
        <v>-15472.509999999998</v>
      </c>
      <c r="I19" s="208">
        <f t="shared" si="12"/>
        <v>0.6560900200044455</v>
      </c>
      <c r="J19" s="108">
        <f t="shared" si="1"/>
        <v>-122210.51</v>
      </c>
      <c r="K19" s="108">
        <f t="shared" si="11"/>
        <v>19.454214120004217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36104.76</v>
      </c>
      <c r="S19" s="111">
        <f t="shared" si="5"/>
        <v>-6587.27</v>
      </c>
      <c r="T19" s="146">
        <f t="shared" si="6"/>
        <v>0.8175512037747932</v>
      </c>
      <c r="U19" s="107">
        <f>F19-березень!F19</f>
        <v>11375</v>
      </c>
      <c r="V19" s="110">
        <f>G19-березень!G19</f>
        <v>1911.9099999999999</v>
      </c>
      <c r="W19" s="111">
        <f t="shared" si="10"/>
        <v>-9463.09</v>
      </c>
      <c r="X19" s="148">
        <f t="shared" si="13"/>
        <v>0.16807999999999998</v>
      </c>
      <c r="Y19" s="197">
        <f t="shared" si="8"/>
        <v>-0.42662940971199736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17690</v>
      </c>
      <c r="G20" s="141">
        <v>12818.48</v>
      </c>
      <c r="H20" s="170">
        <f t="shared" si="9"/>
        <v>-4871.52</v>
      </c>
      <c r="I20" s="211">
        <f t="shared" si="12"/>
        <v>0.7246172979084228</v>
      </c>
      <c r="J20" s="171">
        <f t="shared" si="1"/>
        <v>-53889.520000000004</v>
      </c>
      <c r="K20" s="171">
        <f t="shared" si="11"/>
        <v>19.215806200155903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21979.58</v>
      </c>
      <c r="S20" s="116">
        <f t="shared" si="5"/>
        <v>-9161.100000000002</v>
      </c>
      <c r="T20" s="172">
        <f t="shared" si="6"/>
        <v>0.5831994969876585</v>
      </c>
      <c r="U20" s="136">
        <f>F20-березень!F20</f>
        <v>4475</v>
      </c>
      <c r="V20" s="124">
        <f>G20-березень!G20</f>
        <v>180.10999999999876</v>
      </c>
      <c r="W20" s="116">
        <f t="shared" si="10"/>
        <v>-4294.890000000001</v>
      </c>
      <c r="X20" s="180">
        <f t="shared" si="13"/>
        <v>0.040248044692737156</v>
      </c>
      <c r="Y20" s="197">
        <f t="shared" si="8"/>
        <v>-0.5151195519524755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5200</v>
      </c>
      <c r="G21" s="141">
        <v>3599.75</v>
      </c>
      <c r="H21" s="170">
        <f t="shared" si="9"/>
        <v>-1600.25</v>
      </c>
      <c r="I21" s="211">
        <f t="shared" si="12"/>
        <v>0.6922596153846153</v>
      </c>
      <c r="J21" s="171">
        <f t="shared" si="1"/>
        <v>-12096.25</v>
      </c>
      <c r="K21" s="171">
        <f t="shared" si="11"/>
        <v>22.934187054026502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3118.94</v>
      </c>
      <c r="S21" s="116">
        <f t="shared" si="5"/>
        <v>480.80999999999995</v>
      </c>
      <c r="T21" s="172"/>
      <c r="U21" s="136">
        <f>F21-березень!F21</f>
        <v>1300</v>
      </c>
      <c r="V21" s="124">
        <f>G21-березень!G21</f>
        <v>86.88999999999987</v>
      </c>
      <c r="W21" s="116">
        <f t="shared" si="10"/>
        <v>-1213.1100000000001</v>
      </c>
      <c r="X21" s="180">
        <f t="shared" si="13"/>
        <v>0.06683846153846144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22100</v>
      </c>
      <c r="G22" s="141">
        <v>13099.25</v>
      </c>
      <c r="H22" s="170">
        <f t="shared" si="9"/>
        <v>-9000.75</v>
      </c>
      <c r="I22" s="211">
        <f t="shared" si="12"/>
        <v>0.5927262443438914</v>
      </c>
      <c r="J22" s="171">
        <f t="shared" si="1"/>
        <v>-56224.75</v>
      </c>
      <c r="K22" s="171">
        <f t="shared" si="11"/>
        <v>18.895692689400494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11006.24</v>
      </c>
      <c r="S22" s="116">
        <f t="shared" si="5"/>
        <v>2093.01</v>
      </c>
      <c r="T22" s="172"/>
      <c r="U22" s="136">
        <f>F22-березень!F22</f>
        <v>5600</v>
      </c>
      <c r="V22" s="124">
        <f>G22-березень!G22</f>
        <v>1644.8999999999996</v>
      </c>
      <c r="W22" s="116">
        <f t="shared" si="10"/>
        <v>-3955.1000000000004</v>
      </c>
      <c r="X22" s="180">
        <f t="shared" si="13"/>
        <v>0.2937321428571428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158997.2</v>
      </c>
      <c r="G23" s="158">
        <v>131572.52</v>
      </c>
      <c r="H23" s="102">
        <f t="shared" si="9"/>
        <v>-27424.680000000022</v>
      </c>
      <c r="I23" s="208">
        <f t="shared" si="12"/>
        <v>0.8275146983720467</v>
      </c>
      <c r="J23" s="108">
        <f t="shared" si="1"/>
        <v>-339994.67999999993</v>
      </c>
      <c r="K23" s="108">
        <f t="shared" si="11"/>
        <v>27.901117804631028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141309.29</v>
      </c>
      <c r="S23" s="111">
        <f t="shared" si="5"/>
        <v>-9736.770000000019</v>
      </c>
      <c r="T23" s="147">
        <f aca="true" t="shared" si="14" ref="T23:T41">G23/R23</f>
        <v>0.9310960376348928</v>
      </c>
      <c r="U23" s="107">
        <f>F23-березень!F23</f>
        <v>40445.600000000006</v>
      </c>
      <c r="V23" s="110">
        <f>G23-березень!G23</f>
        <v>11387.389999999985</v>
      </c>
      <c r="W23" s="111">
        <f t="shared" si="10"/>
        <v>-29058.21000000002</v>
      </c>
      <c r="X23" s="148">
        <f t="shared" si="13"/>
        <v>0.28154830191664815</v>
      </c>
      <c r="Y23" s="197">
        <f>T23-Q23</f>
        <v>-0.16377551612980257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69790.01000000001</v>
      </c>
      <c r="G24" s="158">
        <f>G25+G32+G35</f>
        <v>53662.96</v>
      </c>
      <c r="H24" s="102">
        <f t="shared" si="9"/>
        <v>-16127.05000000001</v>
      </c>
      <c r="I24" s="208">
        <f t="shared" si="12"/>
        <v>0.7689203655365573</v>
      </c>
      <c r="J24" s="108">
        <f t="shared" si="1"/>
        <v>-163179.04</v>
      </c>
      <c r="K24" s="148">
        <f aca="true" t="shared" si="15" ref="K24:K41">G24/E24</f>
        <v>0.2474749356674445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67677</v>
      </c>
      <c r="S24" s="111">
        <f t="shared" si="5"/>
        <v>-14014.04</v>
      </c>
      <c r="T24" s="147">
        <f t="shared" si="14"/>
        <v>0.7929275824874034</v>
      </c>
      <c r="U24" s="107">
        <f>F24-березень!F24</f>
        <v>19921.000000000015</v>
      </c>
      <c r="V24" s="110">
        <f>G24-березень!G24</f>
        <v>2595.9400000000023</v>
      </c>
      <c r="W24" s="111">
        <f t="shared" si="10"/>
        <v>-17325.060000000012</v>
      </c>
      <c r="X24" s="148">
        <f t="shared" si="13"/>
        <v>0.13031173133878823</v>
      </c>
      <c r="Y24" s="197">
        <f aca="true" t="shared" si="16" ref="Y24:Y99">T24-Q24</f>
        <v>-0.25345046234497537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11236.5</v>
      </c>
      <c r="G25" s="141">
        <v>7553.77</v>
      </c>
      <c r="H25" s="170">
        <f t="shared" si="9"/>
        <v>-3682.7299999999996</v>
      </c>
      <c r="I25" s="211">
        <f t="shared" si="12"/>
        <v>0.672252925733102</v>
      </c>
      <c r="J25" s="171">
        <f t="shared" si="1"/>
        <v>-21230.23</v>
      </c>
      <c r="K25" s="180">
        <f t="shared" si="15"/>
        <v>0.26242947470817124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9746.31</v>
      </c>
      <c r="S25" s="116">
        <f t="shared" si="5"/>
        <v>-2192.539999999999</v>
      </c>
      <c r="T25" s="152">
        <f t="shared" si="14"/>
        <v>0.7750389634641214</v>
      </c>
      <c r="U25" s="136">
        <f>F25-березень!F25</f>
        <v>4879</v>
      </c>
      <c r="V25" s="124">
        <f>G25-березень!G25</f>
        <v>612.0200000000004</v>
      </c>
      <c r="W25" s="116">
        <f t="shared" si="10"/>
        <v>-4266.98</v>
      </c>
      <c r="X25" s="180">
        <f t="shared" si="13"/>
        <v>0.12543963927034238</v>
      </c>
      <c r="Y25" s="197">
        <f t="shared" si="16"/>
        <v>-0.35755798249041726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280.61</v>
      </c>
      <c r="G26" s="139">
        <f>G28+G29</f>
        <v>587.73</v>
      </c>
      <c r="H26" s="158">
        <f t="shared" si="9"/>
        <v>307.12</v>
      </c>
      <c r="I26" s="212">
        <f t="shared" si="12"/>
        <v>2.0944727557820464</v>
      </c>
      <c r="J26" s="176">
        <f t="shared" si="1"/>
        <v>-934.27</v>
      </c>
      <c r="K26" s="191">
        <f t="shared" si="15"/>
        <v>0.3861563731931669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200.24</v>
      </c>
      <c r="S26" s="201">
        <f t="shared" si="5"/>
        <v>387.49</v>
      </c>
      <c r="T26" s="162">
        <f t="shared" si="14"/>
        <v>2.935127846584099</v>
      </c>
      <c r="U26" s="167">
        <f>F26-березень!F26</f>
        <v>69</v>
      </c>
      <c r="V26" s="167">
        <f>G26-березень!G26</f>
        <v>76.17000000000002</v>
      </c>
      <c r="W26" s="176">
        <f t="shared" si="10"/>
        <v>7.170000000000016</v>
      </c>
      <c r="X26" s="191">
        <f t="shared" si="13"/>
        <v>1.1039130434782611</v>
      </c>
      <c r="Y26" s="197">
        <f t="shared" si="16"/>
        <v>1.929106258762116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10955.89</v>
      </c>
      <c r="G27" s="139">
        <f>G30+G31</f>
        <v>6966.04</v>
      </c>
      <c r="H27" s="158">
        <f t="shared" si="9"/>
        <v>-3989.8499999999995</v>
      </c>
      <c r="I27" s="212">
        <f t="shared" si="12"/>
        <v>0.6358260260006262</v>
      </c>
      <c r="J27" s="176">
        <f t="shared" si="1"/>
        <v>-20295.96</v>
      </c>
      <c r="K27" s="191">
        <f t="shared" si="15"/>
        <v>0.25552197197564375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9546.07</v>
      </c>
      <c r="S27" s="201">
        <f t="shared" si="5"/>
        <v>-2580.0299999999997</v>
      </c>
      <c r="T27" s="162">
        <f t="shared" si="14"/>
        <v>0.7297285689294128</v>
      </c>
      <c r="U27" s="167">
        <f>F27-березень!F27</f>
        <v>4809.999999999999</v>
      </c>
      <c r="V27" s="167">
        <f>G27-березень!G27</f>
        <v>535.8500000000004</v>
      </c>
      <c r="W27" s="176">
        <f t="shared" si="10"/>
        <v>-4274.149999999999</v>
      </c>
      <c r="X27" s="191">
        <f t="shared" si="13"/>
        <v>0.1114033264033265</v>
      </c>
      <c r="Y27" s="197">
        <f t="shared" si="16"/>
        <v>-0.410879800162117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132.8</v>
      </c>
      <c r="G28" s="206">
        <v>104.9</v>
      </c>
      <c r="H28" s="218">
        <f t="shared" si="9"/>
        <v>-27.900000000000006</v>
      </c>
      <c r="I28" s="220">
        <f t="shared" si="12"/>
        <v>0.7899096385542168</v>
      </c>
      <c r="J28" s="221">
        <f t="shared" si="1"/>
        <v>-211.1</v>
      </c>
      <c r="K28" s="222">
        <f t="shared" si="15"/>
        <v>0.3319620253164557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169.07</v>
      </c>
      <c r="S28" s="221">
        <f t="shared" si="5"/>
        <v>-64.16999999999999</v>
      </c>
      <c r="T28" s="222">
        <f t="shared" si="14"/>
        <v>0.6204530667770747</v>
      </c>
      <c r="U28" s="206">
        <f>F28-березень!F28</f>
        <v>65.00000000000001</v>
      </c>
      <c r="V28" s="206">
        <f>G28-березень!G28</f>
        <v>23.330000000000013</v>
      </c>
      <c r="W28" s="221">
        <f t="shared" si="10"/>
        <v>-41.67</v>
      </c>
      <c r="X28" s="222">
        <f t="shared" si="13"/>
        <v>0.358923076923077</v>
      </c>
      <c r="Y28" s="276">
        <f t="shared" si="16"/>
        <v>-0.5248479371734889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147.81</v>
      </c>
      <c r="G29" s="206">
        <v>482.83</v>
      </c>
      <c r="H29" s="218">
        <f t="shared" si="9"/>
        <v>335.02</v>
      </c>
      <c r="I29" s="220">
        <f t="shared" si="12"/>
        <v>3.2665584195927204</v>
      </c>
      <c r="J29" s="221">
        <f t="shared" si="1"/>
        <v>-723.1700000000001</v>
      </c>
      <c r="K29" s="222">
        <f t="shared" si="15"/>
        <v>0.4003565505804312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31.17</v>
      </c>
      <c r="S29" s="221">
        <f t="shared" si="5"/>
        <v>451.65999999999997</v>
      </c>
      <c r="T29" s="222">
        <f t="shared" si="14"/>
        <v>15.490214950272696</v>
      </c>
      <c r="U29" s="206">
        <f>F29-березень!F29</f>
        <v>4</v>
      </c>
      <c r="V29" s="206">
        <f>G29-березень!G29</f>
        <v>52.839999999999975</v>
      </c>
      <c r="W29" s="221">
        <f t="shared" si="10"/>
        <v>48.839999999999975</v>
      </c>
      <c r="X29" s="222">
        <f t="shared" si="13"/>
        <v>13.209999999999994</v>
      </c>
      <c r="Y29" s="276">
        <f t="shared" si="16"/>
        <v>14.515259817610891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330.09</v>
      </c>
      <c r="G30" s="206">
        <v>590.13</v>
      </c>
      <c r="H30" s="218">
        <f t="shared" si="9"/>
        <v>260.04</v>
      </c>
      <c r="I30" s="220">
        <f t="shared" si="12"/>
        <v>1.7877851495046806</v>
      </c>
      <c r="J30" s="221">
        <f t="shared" si="1"/>
        <v>-1764.87</v>
      </c>
      <c r="K30" s="222">
        <f t="shared" si="15"/>
        <v>0.2505859872611465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71.41</v>
      </c>
      <c r="S30" s="221">
        <f t="shared" si="5"/>
        <v>518.72</v>
      </c>
      <c r="T30" s="222">
        <f t="shared" si="14"/>
        <v>8.26396863184428</v>
      </c>
      <c r="U30" s="206">
        <f>F30-березень!F30</f>
        <v>10</v>
      </c>
      <c r="V30" s="206">
        <f>G30-березень!G30</f>
        <v>37.17999999999995</v>
      </c>
      <c r="W30" s="221">
        <f t="shared" si="10"/>
        <v>27.17999999999995</v>
      </c>
      <c r="X30" s="222">
        <f t="shared" si="13"/>
        <v>3.717999999999995</v>
      </c>
      <c r="Y30" s="276">
        <f t="shared" si="16"/>
        <v>7.203277268259098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10625.8</v>
      </c>
      <c r="G31" s="206">
        <v>6375.91</v>
      </c>
      <c r="H31" s="218">
        <f t="shared" si="9"/>
        <v>-4249.889999999999</v>
      </c>
      <c r="I31" s="220">
        <f t="shared" si="12"/>
        <v>0.6000404675412675</v>
      </c>
      <c r="J31" s="221">
        <f t="shared" si="1"/>
        <v>-18531.09</v>
      </c>
      <c r="K31" s="222">
        <f t="shared" si="15"/>
        <v>0.25598867788172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9474.66</v>
      </c>
      <c r="S31" s="221">
        <f t="shared" si="5"/>
        <v>-3098.75</v>
      </c>
      <c r="T31" s="222">
        <f t="shared" si="14"/>
        <v>0.67294340905109</v>
      </c>
      <c r="U31" s="206">
        <f>F31-березень!F31</f>
        <v>4799.999999999999</v>
      </c>
      <c r="V31" s="206">
        <f>G31-березень!G31</f>
        <v>498.6700000000001</v>
      </c>
      <c r="W31" s="221"/>
      <c r="X31" s="222">
        <f t="shared" si="13"/>
        <v>0.10388958333333337</v>
      </c>
      <c r="Y31" s="276">
        <f t="shared" si="16"/>
        <v>-0.47584887618628113</v>
      </c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172.03</v>
      </c>
      <c r="G32" s="120">
        <v>372.2</v>
      </c>
      <c r="H32" s="170">
        <f t="shared" si="9"/>
        <v>200.17</v>
      </c>
      <c r="I32" s="211">
        <f t="shared" si="12"/>
        <v>2.1635761204441084</v>
      </c>
      <c r="J32" s="171">
        <f t="shared" si="1"/>
        <v>90.19999999999999</v>
      </c>
      <c r="K32" s="180">
        <f t="shared" si="15"/>
        <v>1.3198581560283686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104.51</v>
      </c>
      <c r="S32" s="121">
        <f t="shared" si="5"/>
        <v>267.69</v>
      </c>
      <c r="T32" s="150">
        <f t="shared" si="14"/>
        <v>3.5613816859630654</v>
      </c>
      <c r="U32" s="136">
        <f>F32-березень!F32</f>
        <v>12</v>
      </c>
      <c r="V32" s="124">
        <f>G32-березень!G32</f>
        <v>27.129999999999995</v>
      </c>
      <c r="W32" s="116">
        <f t="shared" si="10"/>
        <v>15.129999999999995</v>
      </c>
      <c r="X32" s="180">
        <f t="shared" si="13"/>
        <v>2.260833333333333</v>
      </c>
      <c r="Y32" s="198">
        <f t="shared" si="16"/>
        <v>3.124348552032557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-43.4</v>
      </c>
      <c r="S33" s="72">
        <f t="shared" si="5"/>
        <v>164.74</v>
      </c>
      <c r="T33" s="75">
        <f t="shared" si="14"/>
        <v>-2.7958525345622123</v>
      </c>
      <c r="U33" s="73">
        <f>F33-березень!F33</f>
        <v>0</v>
      </c>
      <c r="V33" s="98">
        <f>G33-березень!G33</f>
        <v>0</v>
      </c>
      <c r="W33" s="74">
        <f t="shared" si="10"/>
        <v>0</v>
      </c>
      <c r="X33" s="75" t="e">
        <f t="shared" si="13"/>
        <v>#DIV/0!</v>
      </c>
      <c r="Y33" s="276">
        <f t="shared" si="16"/>
        <v>-3.2101713943567103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144.18</v>
      </c>
      <c r="G34" s="94">
        <v>250.86</v>
      </c>
      <c r="H34" s="71">
        <f t="shared" si="9"/>
        <v>106.68</v>
      </c>
      <c r="I34" s="209">
        <f t="shared" si="12"/>
        <v>1.7399084477736164</v>
      </c>
      <c r="J34" s="72">
        <f t="shared" si="1"/>
        <v>68.86000000000001</v>
      </c>
      <c r="K34" s="75">
        <f t="shared" si="15"/>
        <v>1.3783516483516485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147.92</v>
      </c>
      <c r="S34" s="72">
        <f t="shared" si="5"/>
        <v>102.94000000000003</v>
      </c>
      <c r="T34" s="75">
        <f t="shared" si="14"/>
        <v>1.6959167117360738</v>
      </c>
      <c r="U34" s="73">
        <f>F34-березень!F34</f>
        <v>12</v>
      </c>
      <c r="V34" s="98">
        <f>G34-березень!G34</f>
        <v>27.130000000000024</v>
      </c>
      <c r="W34" s="74"/>
      <c r="X34" s="75">
        <f t="shared" si="13"/>
        <v>2.2608333333333355</v>
      </c>
      <c r="Y34" s="276">
        <f t="shared" si="16"/>
        <v>1.2453212820611463</v>
      </c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58381.48</v>
      </c>
      <c r="G35" s="120">
        <v>45736.99</v>
      </c>
      <c r="H35" s="102">
        <f t="shared" si="9"/>
        <v>-12644.490000000005</v>
      </c>
      <c r="I35" s="211">
        <f t="shared" si="12"/>
        <v>0.7834160764680853</v>
      </c>
      <c r="J35" s="171">
        <f t="shared" si="1"/>
        <v>-142039.01</v>
      </c>
      <c r="K35" s="180">
        <f t="shared" si="15"/>
        <v>0.24357207523858213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57826.16</v>
      </c>
      <c r="S35" s="122">
        <f t="shared" si="5"/>
        <v>-12089.170000000006</v>
      </c>
      <c r="T35" s="149">
        <f t="shared" si="14"/>
        <v>0.7909394294900439</v>
      </c>
      <c r="U35" s="136">
        <f>F35-березень!F35</f>
        <v>15030.000000000007</v>
      </c>
      <c r="V35" s="124">
        <f>G35-березень!G35</f>
        <v>1956.7900000000009</v>
      </c>
      <c r="W35" s="116">
        <f t="shared" si="10"/>
        <v>-13073.210000000006</v>
      </c>
      <c r="X35" s="180">
        <f t="shared" si="13"/>
        <v>0.13019228210246173</v>
      </c>
      <c r="Y35" s="198">
        <f t="shared" si="16"/>
        <v>-0.2455143504371754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7" ref="E36:G37">E38+E40</f>
        <v>60690</v>
      </c>
      <c r="F36" s="139">
        <f t="shared" si="17"/>
        <v>19295.230000000003</v>
      </c>
      <c r="G36" s="139">
        <v>4326.71</v>
      </c>
      <c r="H36" s="158">
        <f t="shared" si="9"/>
        <v>-14968.520000000004</v>
      </c>
      <c r="I36" s="212">
        <f t="shared" si="12"/>
        <v>0.22423728558819975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19304.539999999997</v>
      </c>
      <c r="S36" s="140">
        <f t="shared" si="5"/>
        <v>-14977.829999999998</v>
      </c>
      <c r="T36" s="162">
        <f t="shared" si="14"/>
        <v>0.22412914267835446</v>
      </c>
      <c r="U36" s="167">
        <f>F36-березень!F36</f>
        <v>4930.000000000004</v>
      </c>
      <c r="V36" s="167">
        <f>G36-березень!G36</f>
        <v>0</v>
      </c>
      <c r="W36" s="176">
        <f t="shared" si="10"/>
        <v>-4930.000000000004</v>
      </c>
      <c r="X36" s="191">
        <f aca="true" t="shared" si="18" ref="X36:X41">V36/U36*100</f>
        <v>0</v>
      </c>
      <c r="Y36" s="197">
        <f t="shared" si="16"/>
        <v>-0.8113830033041178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7"/>
        <v>127086</v>
      </c>
      <c r="F37" s="139">
        <f t="shared" si="17"/>
        <v>39086.25</v>
      </c>
      <c r="G37" s="139">
        <f t="shared" si="17"/>
        <v>31613.87</v>
      </c>
      <c r="H37" s="158">
        <f t="shared" si="9"/>
        <v>-7472.380000000001</v>
      </c>
      <c r="I37" s="212">
        <f t="shared" si="12"/>
        <v>0.808823307429083</v>
      </c>
      <c r="J37" s="176">
        <f t="shared" si="1"/>
        <v>-95472.13</v>
      </c>
      <c r="K37" s="191">
        <f t="shared" si="15"/>
        <v>0.2487596588137167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38521.630000000005</v>
      </c>
      <c r="S37" s="140">
        <f t="shared" si="5"/>
        <v>-6907.760000000006</v>
      </c>
      <c r="T37" s="162">
        <f t="shared" si="14"/>
        <v>0.8206784084681774</v>
      </c>
      <c r="U37" s="167">
        <f>F37-березень!F37</f>
        <v>10100</v>
      </c>
      <c r="V37" s="167">
        <f>G37-березень!G37</f>
        <v>1483.3600000000006</v>
      </c>
      <c r="W37" s="176">
        <f t="shared" si="10"/>
        <v>-8616.64</v>
      </c>
      <c r="X37" s="191">
        <f>V37/U37</f>
        <v>0.14686732673267333</v>
      </c>
      <c r="Y37" s="197">
        <f t="shared" si="16"/>
        <v>-0.21622565379599978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18484.4</v>
      </c>
      <c r="G38" s="206">
        <v>13832.35</v>
      </c>
      <c r="H38" s="218">
        <f t="shared" si="9"/>
        <v>-4652.050000000001</v>
      </c>
      <c r="I38" s="220">
        <f t="shared" si="12"/>
        <v>0.7483256151132847</v>
      </c>
      <c r="J38" s="221">
        <f t="shared" si="1"/>
        <v>-43457.65</v>
      </c>
      <c r="K38" s="222">
        <f t="shared" si="15"/>
        <v>0.24144440565543726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18921.87</v>
      </c>
      <c r="S38" s="221">
        <f t="shared" si="5"/>
        <v>-5089.519999999999</v>
      </c>
      <c r="T38" s="222">
        <f t="shared" si="14"/>
        <v>0.7310244706257891</v>
      </c>
      <c r="U38" s="206">
        <f>F38-березень!F38</f>
        <v>4700.000000000002</v>
      </c>
      <c r="V38" s="206">
        <f>G38-березень!G38</f>
        <v>448.78000000000065</v>
      </c>
      <c r="W38" s="221">
        <f t="shared" si="10"/>
        <v>-4251.220000000001</v>
      </c>
      <c r="X38" s="222">
        <f t="shared" si="18"/>
        <v>9.548510638297882</v>
      </c>
      <c r="Y38" s="276">
        <f t="shared" si="16"/>
        <v>-0.3059691781727536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32993.45</v>
      </c>
      <c r="G39" s="206">
        <v>26229.35</v>
      </c>
      <c r="H39" s="218">
        <f t="shared" si="9"/>
        <v>-6764.0999999999985</v>
      </c>
      <c r="I39" s="220">
        <f t="shared" si="12"/>
        <v>0.7949865806697997</v>
      </c>
      <c r="J39" s="221">
        <f t="shared" si="1"/>
        <v>-79756.65</v>
      </c>
      <c r="K39" s="222">
        <f t="shared" si="15"/>
        <v>0.24747938406959408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32285.88</v>
      </c>
      <c r="S39" s="221">
        <f t="shared" si="5"/>
        <v>-6056.5300000000025</v>
      </c>
      <c r="T39" s="222">
        <f t="shared" si="14"/>
        <v>0.8124093256866468</v>
      </c>
      <c r="U39" s="206">
        <f>F39-березень!F39</f>
        <v>8599.999999999996</v>
      </c>
      <c r="V39" s="206">
        <f>G39-березень!G39</f>
        <v>1024.6399999999994</v>
      </c>
      <c r="W39" s="221">
        <f t="shared" si="10"/>
        <v>-7575.359999999997</v>
      </c>
      <c r="X39" s="222">
        <f t="shared" si="18"/>
        <v>11.91441860465116</v>
      </c>
      <c r="Y39" s="276">
        <f t="shared" si="16"/>
        <v>-0.2246727227426758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810.83</v>
      </c>
      <c r="G40" s="206">
        <v>290.76</v>
      </c>
      <c r="H40" s="218">
        <f t="shared" si="9"/>
        <v>-520.07</v>
      </c>
      <c r="I40" s="220">
        <f t="shared" si="12"/>
        <v>0.35859551323952</v>
      </c>
      <c r="J40" s="221">
        <f t="shared" si="1"/>
        <v>-3109.24</v>
      </c>
      <c r="K40" s="222">
        <f t="shared" si="15"/>
        <v>0.08551764705882353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382.67</v>
      </c>
      <c r="S40" s="221">
        <f t="shared" si="5"/>
        <v>-91.91000000000003</v>
      </c>
      <c r="T40" s="222">
        <f t="shared" si="14"/>
        <v>0.759819165338281</v>
      </c>
      <c r="U40" s="206">
        <f>F40-березень!F40</f>
        <v>230</v>
      </c>
      <c r="V40" s="206">
        <f>G40-березень!G40</f>
        <v>24.639999999999986</v>
      </c>
      <c r="W40" s="221">
        <f t="shared" si="10"/>
        <v>-205.36</v>
      </c>
      <c r="X40" s="222">
        <f t="shared" si="18"/>
        <v>10.713043478260865</v>
      </c>
      <c r="Y40" s="276">
        <f t="shared" si="16"/>
        <v>-0.2513512942089525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6092.8</v>
      </c>
      <c r="G41" s="206">
        <v>5384.52</v>
      </c>
      <c r="H41" s="218">
        <f t="shared" si="9"/>
        <v>-708.2799999999997</v>
      </c>
      <c r="I41" s="220">
        <f t="shared" si="12"/>
        <v>0.8837513130252102</v>
      </c>
      <c r="J41" s="221">
        <f t="shared" si="1"/>
        <v>-15715.48</v>
      </c>
      <c r="K41" s="222">
        <f t="shared" si="15"/>
        <v>0.25519052132701425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6235.75</v>
      </c>
      <c r="S41" s="221">
        <f t="shared" si="5"/>
        <v>-851.2299999999996</v>
      </c>
      <c r="T41" s="222">
        <f t="shared" si="14"/>
        <v>0.8634919616726137</v>
      </c>
      <c r="U41" s="206">
        <f>F41-березень!F41</f>
        <v>1500</v>
      </c>
      <c r="V41" s="206">
        <f>G41-березень!G41</f>
        <v>458.72000000000025</v>
      </c>
      <c r="W41" s="221">
        <f t="shared" si="10"/>
        <v>-1041.2799999999997</v>
      </c>
      <c r="X41" s="222">
        <f t="shared" si="18"/>
        <v>30.581333333333347</v>
      </c>
      <c r="Y41" s="276">
        <f t="shared" si="16"/>
        <v>-0.17251899352948696</v>
      </c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F42-березень!F42</f>
        <v>0</v>
      </c>
      <c r="V42" s="110">
        <f>G42-березень!G42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50.43</v>
      </c>
      <c r="G43" s="106">
        <v>47.23</v>
      </c>
      <c r="H43" s="102">
        <f t="shared" si="9"/>
        <v>-3.200000000000003</v>
      </c>
      <c r="I43" s="208">
        <f>G43/F43</f>
        <v>0.9365457069204838</v>
      </c>
      <c r="J43" s="108">
        <f t="shared" si="1"/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52.41</v>
      </c>
      <c r="S43" s="108">
        <f t="shared" si="5"/>
        <v>-5.18</v>
      </c>
      <c r="T43" s="148">
        <f aca="true" t="shared" si="19" ref="T43:T51">G43/R43</f>
        <v>0.9011639000190803</v>
      </c>
      <c r="U43" s="107">
        <f>F43-березень!F43</f>
        <v>17</v>
      </c>
      <c r="V43" s="110">
        <f>G43-березень!G43</f>
        <v>0</v>
      </c>
      <c r="W43" s="111">
        <f t="shared" si="10"/>
        <v>-17</v>
      </c>
      <c r="X43" s="148">
        <f>V43/U43</f>
        <v>0</v>
      </c>
      <c r="Y43" s="277">
        <f t="shared" si="16"/>
        <v>-0.2109391480615217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30.9</v>
      </c>
      <c r="G44" s="94">
        <v>38.9</v>
      </c>
      <c r="H44" s="71">
        <f t="shared" si="9"/>
        <v>8</v>
      </c>
      <c r="I44" s="209">
        <f>G44/F44</f>
        <v>1.2588996763754046</v>
      </c>
      <c r="J44" s="72">
        <f t="shared" si="1"/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27.86</v>
      </c>
      <c r="S44" s="72">
        <f t="shared" si="5"/>
        <v>11.04</v>
      </c>
      <c r="T44" s="75">
        <f t="shared" si="19"/>
        <v>1.396267049533381</v>
      </c>
      <c r="U44" s="73">
        <f>F44-березень!F44</f>
        <v>5</v>
      </c>
      <c r="V44" s="98">
        <f>G44-березень!G44</f>
        <v>0</v>
      </c>
      <c r="W44" s="74">
        <f t="shared" si="10"/>
        <v>-5</v>
      </c>
      <c r="X44" s="75">
        <f>V44/U44</f>
        <v>0</v>
      </c>
      <c r="Y44" s="276">
        <f t="shared" si="16"/>
        <v>0.3357246909039928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19.53</v>
      </c>
      <c r="G45" s="94">
        <v>8.33</v>
      </c>
      <c r="H45" s="71">
        <f t="shared" si="9"/>
        <v>-11.200000000000001</v>
      </c>
      <c r="I45" s="209">
        <f>G45/F45</f>
        <v>0.4265232974910394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24.55</v>
      </c>
      <c r="S45" s="72">
        <f t="shared" si="5"/>
        <v>-16.22</v>
      </c>
      <c r="T45" s="75">
        <f t="shared" si="19"/>
        <v>0.33930753564154786</v>
      </c>
      <c r="U45" s="73">
        <f>F45-березень!F45</f>
        <v>12</v>
      </c>
      <c r="V45" s="98">
        <f>G45-березень!G45</f>
        <v>0</v>
      </c>
      <c r="W45" s="74">
        <f t="shared" si="10"/>
        <v>-12</v>
      </c>
      <c r="X45" s="75">
        <f>V45/U45</f>
        <v>0</v>
      </c>
      <c r="Y45" s="276">
        <f t="shared" si="16"/>
        <v>-0.8523267056035884</v>
      </c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-1.18</v>
      </c>
      <c r="H46" s="102">
        <f t="shared" si="9"/>
        <v>-1.18</v>
      </c>
      <c r="I46" s="208"/>
      <c r="J46" s="108">
        <f t="shared" si="1"/>
        <v>-1.18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-27.35</v>
      </c>
      <c r="S46" s="108">
        <f t="shared" si="5"/>
        <v>26.17</v>
      </c>
      <c r="T46" s="148">
        <f t="shared" si="19"/>
        <v>0.04314442413162705</v>
      </c>
      <c r="U46" s="107">
        <f>F46-березень!F46</f>
        <v>0</v>
      </c>
      <c r="V46" s="110">
        <f>G46-березень!G46</f>
        <v>0.5800000000000001</v>
      </c>
      <c r="W46" s="111">
        <f t="shared" si="10"/>
        <v>0.5800000000000001</v>
      </c>
      <c r="X46" s="148"/>
      <c r="Y46" s="197">
        <f t="shared" si="16"/>
        <v>0.04314442413162705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89156.76</v>
      </c>
      <c r="G47" s="113">
        <v>77863.51</v>
      </c>
      <c r="H47" s="102">
        <f t="shared" si="9"/>
        <v>-11293.25</v>
      </c>
      <c r="I47" s="208">
        <f>G47/F47</f>
        <v>0.8733326558748882</v>
      </c>
      <c r="J47" s="108">
        <f t="shared" si="1"/>
        <v>-176687.28999999998</v>
      </c>
      <c r="K47" s="148">
        <f>G47/E47</f>
        <v>0.30588593710960643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73607.04</v>
      </c>
      <c r="S47" s="123">
        <f t="shared" si="5"/>
        <v>4256.470000000001</v>
      </c>
      <c r="T47" s="160">
        <f t="shared" si="19"/>
        <v>1.0578269415534167</v>
      </c>
      <c r="U47" s="107">
        <f>F47-березень!F47</f>
        <v>20507.59999999999</v>
      </c>
      <c r="V47" s="110">
        <f>G47-березень!G47</f>
        <v>8790.86</v>
      </c>
      <c r="W47" s="111">
        <f t="shared" si="10"/>
        <v>-11716.73999999999</v>
      </c>
      <c r="X47" s="148">
        <f>V47/U47</f>
        <v>0.42866351986580603</v>
      </c>
      <c r="Y47" s="197">
        <f t="shared" si="16"/>
        <v>-0.08177469293148731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 t="shared" si="1"/>
        <v>0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-0.01</v>
      </c>
      <c r="T48" s="153">
        <f t="shared" si="19"/>
        <v>0</v>
      </c>
      <c r="U48" s="73">
        <f>F48-березень!F48</f>
        <v>0</v>
      </c>
      <c r="V48" s="98">
        <f>G48-березень!G48</f>
        <v>-0.01</v>
      </c>
      <c r="W48" s="74">
        <f t="shared" si="10"/>
        <v>-0.01</v>
      </c>
      <c r="X48" s="75"/>
      <c r="Y48" s="197">
        <f t="shared" si="16"/>
        <v>0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18983.87</v>
      </c>
      <c r="G49" s="94">
        <v>15992.37</v>
      </c>
      <c r="H49" s="71">
        <f>G49-F49</f>
        <v>-2991.499999999998</v>
      </c>
      <c r="I49" s="209">
        <f>G49/F49</f>
        <v>0.8424188534792959</v>
      </c>
      <c r="J49" s="72">
        <f t="shared" si="1"/>
        <v>-39722.63</v>
      </c>
      <c r="K49" s="75">
        <f>G49/E49</f>
        <v>0.2870388584761734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13998.42</v>
      </c>
      <c r="S49" s="85">
        <f t="shared" si="5"/>
        <v>1993.9500000000007</v>
      </c>
      <c r="T49" s="153">
        <f t="shared" si="19"/>
        <v>1.1424410754928056</v>
      </c>
      <c r="U49" s="73">
        <f>F49-березень!F49</f>
        <v>3999.999999999998</v>
      </c>
      <c r="V49" s="98">
        <f>G49-березень!G49</f>
        <v>1486.130000000001</v>
      </c>
      <c r="W49" s="74">
        <f t="shared" si="10"/>
        <v>-2513.869999999997</v>
      </c>
      <c r="X49" s="75">
        <f>V49/U49</f>
        <v>0.37153250000000043</v>
      </c>
      <c r="Y49" s="197">
        <f t="shared" si="16"/>
        <v>-0.09483583602951473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70140.49</v>
      </c>
      <c r="G50" s="94">
        <v>61848.84</v>
      </c>
      <c r="H50" s="71">
        <f>G50-F50</f>
        <v>-8291.650000000009</v>
      </c>
      <c r="I50" s="209">
        <f>G50/F50</f>
        <v>0.8817851144182196</v>
      </c>
      <c r="J50" s="72">
        <f t="shared" si="1"/>
        <v>-136906.16</v>
      </c>
      <c r="K50" s="75">
        <f>G50/E50</f>
        <v>0.3111813036150034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59585.52</v>
      </c>
      <c r="S50" s="85">
        <f t="shared" si="5"/>
        <v>2263.3199999999997</v>
      </c>
      <c r="T50" s="153">
        <f t="shared" si="19"/>
        <v>1.0379843962090118</v>
      </c>
      <c r="U50" s="73">
        <f>F50-березень!F50</f>
        <v>16500.000000000007</v>
      </c>
      <c r="V50" s="98">
        <f>G50-березень!G50</f>
        <v>7304.739999999998</v>
      </c>
      <c r="W50" s="74">
        <f t="shared" si="10"/>
        <v>-9195.26000000001</v>
      </c>
      <c r="X50" s="75">
        <f>V50/U50</f>
        <v>0.44271151515151486</v>
      </c>
      <c r="Y50" s="197">
        <f t="shared" si="16"/>
        <v>-0.07692407084639807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32.4</v>
      </c>
      <c r="G51" s="94">
        <v>22.31</v>
      </c>
      <c r="H51" s="71">
        <f>G51-F51</f>
        <v>-10.09</v>
      </c>
      <c r="I51" s="209">
        <f>G51/F51</f>
        <v>0.6885802469135802</v>
      </c>
      <c r="J51" s="72">
        <f t="shared" si="1"/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23.09</v>
      </c>
      <c r="S51" s="85">
        <f t="shared" si="5"/>
        <v>-0.7800000000000011</v>
      </c>
      <c r="T51" s="153">
        <f t="shared" si="19"/>
        <v>0.9662191424859246</v>
      </c>
      <c r="U51" s="73">
        <f>F51-березень!F51</f>
        <v>7.599999999999998</v>
      </c>
      <c r="V51" s="98">
        <f>G51-березень!G51</f>
        <v>0</v>
      </c>
      <c r="W51" s="74">
        <f t="shared" si="10"/>
        <v>-7.599999999999998</v>
      </c>
      <c r="X51" s="75"/>
      <c r="Y51" s="197">
        <f t="shared" si="16"/>
        <v>-0.22851692139105317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F52-березень!F52</f>
        <v>0</v>
      </c>
      <c r="V52" s="99">
        <f>G52-березень!G52</f>
        <v>0</v>
      </c>
      <c r="W52" s="117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14390.55</v>
      </c>
      <c r="G53" s="103">
        <f>G54+G55+G56+G57+G58+G60+G62+G63+G64+G65+G66+G71+G72+G76+G59+G61</f>
        <v>14650.78</v>
      </c>
      <c r="H53" s="103">
        <f>H54+H55+H56+H57+H58+H60+H62+H63+H64+H65+H66+H71+H72+H76+H59+H61</f>
        <v>260.23</v>
      </c>
      <c r="I53" s="143">
        <f aca="true" t="shared" si="20" ref="I53:I72">G53/F53</f>
        <v>1.0180833950057504</v>
      </c>
      <c r="J53" s="104">
        <f>G53-E53</f>
        <v>-32598.120000000003</v>
      </c>
      <c r="K53" s="156">
        <f aca="true" t="shared" si="21" ref="K53:K72">G53/E53</f>
        <v>0.31007663670476987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19437.9</v>
      </c>
      <c r="S53" s="103">
        <f t="shared" si="5"/>
        <v>-4787.120000000001</v>
      </c>
      <c r="T53" s="143">
        <f>G53/R53</f>
        <v>0.7537223671281362</v>
      </c>
      <c r="U53" s="103">
        <f>U54+U55+U56+U57+U58+U60+U62+U63+U64+U65+U66+U71+U72+U76+U59+U61</f>
        <v>3747.5019999999995</v>
      </c>
      <c r="V53" s="103">
        <f>V54+V55+V56+V57+V58+V60+V62+V63+V64+V65+V66+V71+V72+V76+V59+V61</f>
        <v>3153.290000000001</v>
      </c>
      <c r="W53" s="103">
        <f>W54+W55+W56+W57+W58+W60+W62+W63+W64+W65+W66+W71+W72+W76</f>
        <v>-601.2119999999991</v>
      </c>
      <c r="X53" s="143">
        <f>V53/U53</f>
        <v>0.8414378431285697</v>
      </c>
      <c r="Y53" s="197">
        <f t="shared" si="16"/>
        <v>0.07271584343821424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-180.86</v>
      </c>
      <c r="S54" s="115">
        <f t="shared" si="5"/>
        <v>239.77</v>
      </c>
      <c r="T54" s="155">
        <f>G54/R54</f>
        <v>-0.32572155258210767</v>
      </c>
      <c r="U54" s="107">
        <f>F54-березень!F54</f>
        <v>0</v>
      </c>
      <c r="V54" s="110">
        <f>G54-березень!G54</f>
        <v>0</v>
      </c>
      <c r="W54" s="111">
        <f aca="true" t="shared" si="23" ref="W54:W78">V54-U54</f>
        <v>0</v>
      </c>
      <c r="X54" s="155" t="e">
        <f>V54/U54</f>
        <v>#DIV/0!</v>
      </c>
      <c r="Y54" s="197">
        <f t="shared" si="16"/>
        <v>-1.3318112426305517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1000.08</v>
      </c>
      <c r="G55" s="106">
        <v>2237.17</v>
      </c>
      <c r="H55" s="102">
        <f t="shared" si="22"/>
        <v>1237.0900000000001</v>
      </c>
      <c r="I55" s="213">
        <f t="shared" si="20"/>
        <v>2.2369910407167426</v>
      </c>
      <c r="J55" s="115">
        <f aca="true" t="shared" si="24" ref="J55:J78">G55-E55</f>
        <v>-2762.83</v>
      </c>
      <c r="K55" s="155">
        <f t="shared" si="21"/>
        <v>0.447434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7806.86</v>
      </c>
      <c r="S55" s="115">
        <f t="shared" si="5"/>
        <v>-5569.69</v>
      </c>
      <c r="T55" s="155">
        <f aca="true" t="shared" si="27" ref="T55:T78">G55/R55</f>
        <v>0.2865646367425572</v>
      </c>
      <c r="U55" s="107">
        <f>F55-березень!F55</f>
        <v>420.00200000000007</v>
      </c>
      <c r="V55" s="110">
        <f>G55-березень!G55</f>
        <v>1137.4</v>
      </c>
      <c r="W55" s="111">
        <f t="shared" si="23"/>
        <v>717.398</v>
      </c>
      <c r="X55" s="155">
        <f aca="true" t="shared" si="28" ref="X55:X77">V55/U55</f>
        <v>2.7080823424650355</v>
      </c>
      <c r="Y55" s="197">
        <f t="shared" si="16"/>
        <v>0.10797790073661384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42</v>
      </c>
      <c r="G56" s="106">
        <v>51.82</v>
      </c>
      <c r="H56" s="102">
        <f t="shared" si="22"/>
        <v>9.82</v>
      </c>
      <c r="I56" s="213">
        <f t="shared" si="20"/>
        <v>1.233809523809524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82.8</v>
      </c>
      <c r="S56" s="115">
        <f t="shared" si="5"/>
        <v>-30.979999999999997</v>
      </c>
      <c r="T56" s="155">
        <f t="shared" si="27"/>
        <v>0.6258454106280193</v>
      </c>
      <c r="U56" s="107">
        <f>F56-березень!F56</f>
        <v>14</v>
      </c>
      <c r="V56" s="110">
        <f>G56-березень!G56</f>
        <v>0</v>
      </c>
      <c r="W56" s="111">
        <f t="shared" si="23"/>
        <v>-14</v>
      </c>
      <c r="X56" s="155">
        <f t="shared" si="28"/>
        <v>0</v>
      </c>
      <c r="Y56" s="197">
        <f t="shared" si="16"/>
        <v>-0.40481342824999755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5</v>
      </c>
      <c r="G57" s="106">
        <v>2.02</v>
      </c>
      <c r="H57" s="102">
        <f t="shared" si="22"/>
        <v>-2.98</v>
      </c>
      <c r="I57" s="213">
        <f t="shared" si="20"/>
        <v>0.404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F57-березень!F57</f>
        <v>1</v>
      </c>
      <c r="V57" s="110">
        <f>G57-березень!G57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208.43</v>
      </c>
      <c r="G58" s="106">
        <v>237.48</v>
      </c>
      <c r="H58" s="102">
        <f t="shared" si="22"/>
        <v>29.049999999999983</v>
      </c>
      <c r="I58" s="213">
        <f t="shared" si="20"/>
        <v>1.139375329846951</v>
      </c>
      <c r="J58" s="115">
        <f t="shared" si="24"/>
        <v>-506.52</v>
      </c>
      <c r="K58" s="155">
        <f t="shared" si="21"/>
        <v>0.31919354838709674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394.48</v>
      </c>
      <c r="S58" s="115">
        <f t="shared" si="5"/>
        <v>-157.00000000000003</v>
      </c>
      <c r="T58" s="155">
        <f t="shared" si="27"/>
        <v>0.6020077063475968</v>
      </c>
      <c r="U58" s="107">
        <f>F58-березень!F58</f>
        <v>60</v>
      </c>
      <c r="V58" s="110">
        <f>G58-березень!G58</f>
        <v>12.889999999999986</v>
      </c>
      <c r="W58" s="111">
        <f t="shared" si="23"/>
        <v>-47.110000000000014</v>
      </c>
      <c r="X58" s="155">
        <f t="shared" si="28"/>
        <v>0.2148333333333331</v>
      </c>
      <c r="Y58" s="197">
        <f t="shared" si="16"/>
        <v>-0.45284760550109393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30</v>
      </c>
      <c r="G59" s="106">
        <v>25.62</v>
      </c>
      <c r="H59" s="102">
        <f t="shared" si="22"/>
        <v>-4.379999999999999</v>
      </c>
      <c r="I59" s="213">
        <f t="shared" si="20"/>
        <v>0.854</v>
      </c>
      <c r="J59" s="115">
        <f t="shared" si="24"/>
        <v>-89.88</v>
      </c>
      <c r="K59" s="155">
        <f t="shared" si="21"/>
        <v>0.22181818181818183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1.01</v>
      </c>
      <c r="S59" s="115">
        <f t="shared" si="5"/>
        <v>24.61</v>
      </c>
      <c r="T59" s="155">
        <f t="shared" si="27"/>
        <v>25.366336633663366</v>
      </c>
      <c r="U59" s="107">
        <f>F59-березень!F59</f>
        <v>10</v>
      </c>
      <c r="V59" s="110">
        <f>G59-березень!G59</f>
        <v>17</v>
      </c>
      <c r="W59" s="111">
        <f t="shared" si="23"/>
        <v>7</v>
      </c>
      <c r="X59" s="155">
        <f t="shared" si="28"/>
        <v>1.7</v>
      </c>
      <c r="Y59" s="197">
        <f t="shared" si="16"/>
        <v>24.355837945999323</v>
      </c>
    </row>
    <row r="60" spans="1:25" s="6" customFormat="1" ht="30.75">
      <c r="A60" s="8"/>
      <c r="B60" s="274" t="s">
        <v>89</v>
      </c>
      <c r="C60" s="40">
        <v>22010300</v>
      </c>
      <c r="D60" s="249">
        <v>1284</v>
      </c>
      <c r="E60" s="102">
        <v>1284</v>
      </c>
      <c r="F60" s="102">
        <v>384</v>
      </c>
      <c r="G60" s="106">
        <v>328.74</v>
      </c>
      <c r="H60" s="102">
        <f t="shared" si="22"/>
        <v>-55.25999999999999</v>
      </c>
      <c r="I60" s="213">
        <f t="shared" si="20"/>
        <v>0.85609375</v>
      </c>
      <c r="J60" s="115">
        <f t="shared" si="24"/>
        <v>-955.26</v>
      </c>
      <c r="K60" s="155">
        <f t="shared" si="21"/>
        <v>0.2560280373831776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393.47</v>
      </c>
      <c r="S60" s="115">
        <f t="shared" si="5"/>
        <v>-64.73000000000002</v>
      </c>
      <c r="T60" s="155">
        <f t="shared" si="27"/>
        <v>0.8354893638650976</v>
      </c>
      <c r="U60" s="107">
        <f>F60-березень!F60</f>
        <v>100</v>
      </c>
      <c r="V60" s="110">
        <f>G60-березень!G60</f>
        <v>48.410000000000025</v>
      </c>
      <c r="W60" s="111">
        <f t="shared" si="23"/>
        <v>-51.589999999999975</v>
      </c>
      <c r="X60" s="155">
        <f t="shared" si="28"/>
        <v>0.48410000000000025</v>
      </c>
      <c r="Y60" s="197">
        <f t="shared" si="16"/>
        <v>-0.22994701697032383</v>
      </c>
    </row>
    <row r="61" spans="1:25" s="6" customFormat="1" ht="18" hidden="1">
      <c r="A61" s="8"/>
      <c r="B61" s="274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F61-березень!F61</f>
        <v>0</v>
      </c>
      <c r="V61" s="110">
        <f>G61-березень!G61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275" t="s">
        <v>65</v>
      </c>
      <c r="C62" s="57">
        <v>22012500</v>
      </c>
      <c r="D62" s="248">
        <v>21260</v>
      </c>
      <c r="E62" s="102">
        <v>21260</v>
      </c>
      <c r="F62" s="102">
        <v>7490</v>
      </c>
      <c r="G62" s="106">
        <v>7087.8</v>
      </c>
      <c r="H62" s="102">
        <f t="shared" si="22"/>
        <v>-402.1999999999998</v>
      </c>
      <c r="I62" s="213">
        <f t="shared" si="20"/>
        <v>0.9463017356475301</v>
      </c>
      <c r="J62" s="115">
        <f t="shared" si="24"/>
        <v>-14172.2</v>
      </c>
      <c r="K62" s="155">
        <f t="shared" si="21"/>
        <v>0.33338664158043274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4681.51</v>
      </c>
      <c r="S62" s="115">
        <f t="shared" si="5"/>
        <v>2406.29</v>
      </c>
      <c r="T62" s="155">
        <f t="shared" si="27"/>
        <v>1.5139986884573566</v>
      </c>
      <c r="U62" s="107">
        <f>F62-березень!F62</f>
        <v>1800</v>
      </c>
      <c r="V62" s="110">
        <f>G62-березень!G62</f>
        <v>885.8600000000006</v>
      </c>
      <c r="W62" s="111">
        <f t="shared" si="23"/>
        <v>-914.1399999999994</v>
      </c>
      <c r="X62" s="155">
        <f t="shared" si="28"/>
        <v>0.4921444444444448</v>
      </c>
      <c r="Y62" s="197">
        <f t="shared" si="16"/>
        <v>0.45682056836470686</v>
      </c>
    </row>
    <row r="63" spans="1:25" s="6" customFormat="1" ht="31.5">
      <c r="A63" s="8"/>
      <c r="B63" s="275" t="s">
        <v>86</v>
      </c>
      <c r="C63" s="57">
        <v>22012600</v>
      </c>
      <c r="D63" s="248">
        <v>767</v>
      </c>
      <c r="E63" s="102">
        <v>767</v>
      </c>
      <c r="F63" s="102">
        <v>249</v>
      </c>
      <c r="G63" s="106">
        <v>228.33</v>
      </c>
      <c r="H63" s="102">
        <f t="shared" si="22"/>
        <v>-20.669999999999987</v>
      </c>
      <c r="I63" s="213">
        <f t="shared" si="20"/>
        <v>0.9169879518072289</v>
      </c>
      <c r="J63" s="115">
        <f t="shared" si="24"/>
        <v>-538.67</v>
      </c>
      <c r="K63" s="155">
        <f t="shared" si="21"/>
        <v>0.2976923076923077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175.37</v>
      </c>
      <c r="S63" s="115">
        <f t="shared" si="5"/>
        <v>52.96000000000001</v>
      </c>
      <c r="T63" s="155">
        <f t="shared" si="27"/>
        <v>1.3019900781205451</v>
      </c>
      <c r="U63" s="107">
        <f>F63-березень!F63</f>
        <v>64</v>
      </c>
      <c r="V63" s="110">
        <f>G63-березень!G63</f>
        <v>26.170000000000016</v>
      </c>
      <c r="W63" s="111">
        <f t="shared" si="23"/>
        <v>-37.829999999999984</v>
      </c>
      <c r="X63" s="155">
        <f t="shared" si="28"/>
        <v>0.40890625000000025</v>
      </c>
      <c r="Y63" s="197">
        <f t="shared" si="16"/>
        <v>0.22176924549139732</v>
      </c>
    </row>
    <row r="64" spans="1:25" s="6" customFormat="1" ht="31.5">
      <c r="A64" s="8"/>
      <c r="B64" s="275" t="s">
        <v>90</v>
      </c>
      <c r="C64" s="57">
        <v>22012900</v>
      </c>
      <c r="D64" s="248">
        <v>44</v>
      </c>
      <c r="E64" s="102">
        <v>44</v>
      </c>
      <c r="F64" s="102">
        <v>12</v>
      </c>
      <c r="G64" s="106">
        <v>13.06</v>
      </c>
      <c r="H64" s="102">
        <f t="shared" si="22"/>
        <v>1.0600000000000005</v>
      </c>
      <c r="I64" s="213">
        <f t="shared" si="20"/>
        <v>1.0883333333333334</v>
      </c>
      <c r="J64" s="115">
        <f t="shared" si="24"/>
        <v>-30.939999999999998</v>
      </c>
      <c r="K64" s="155">
        <f t="shared" si="21"/>
        <v>0.2968181818181818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11.36</v>
      </c>
      <c r="S64" s="115">
        <f t="shared" si="5"/>
        <v>1.700000000000001</v>
      </c>
      <c r="T64" s="155">
        <f t="shared" si="27"/>
        <v>1.1496478873239437</v>
      </c>
      <c r="U64" s="107">
        <f>F64-березень!F64</f>
        <v>4</v>
      </c>
      <c r="V64" s="110">
        <f>G64-березень!G64</f>
        <v>5.300000000000001</v>
      </c>
      <c r="W64" s="111">
        <f t="shared" si="23"/>
        <v>1.3000000000000007</v>
      </c>
      <c r="X64" s="155">
        <f t="shared" si="28"/>
        <v>1.3250000000000002</v>
      </c>
      <c r="Y64" s="197">
        <f t="shared" si="16"/>
        <v>0.08787182554788187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2064.14</v>
      </c>
      <c r="G65" s="106">
        <v>2279.83</v>
      </c>
      <c r="H65" s="102">
        <f t="shared" si="22"/>
        <v>215.69000000000005</v>
      </c>
      <c r="I65" s="213">
        <f t="shared" si="20"/>
        <v>1.1044938812289864</v>
      </c>
      <c r="J65" s="115">
        <f t="shared" si="24"/>
        <v>-3720.17</v>
      </c>
      <c r="K65" s="155">
        <f t="shared" si="21"/>
        <v>0.37997166666666665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2187.7</v>
      </c>
      <c r="S65" s="115">
        <f t="shared" si="5"/>
        <v>92.13000000000011</v>
      </c>
      <c r="T65" s="155">
        <f t="shared" si="27"/>
        <v>1.0421127211226402</v>
      </c>
      <c r="U65" s="107">
        <f>F65-березень!F65</f>
        <v>499.9999999999998</v>
      </c>
      <c r="V65" s="110">
        <f>G65-березень!G65</f>
        <v>579.26</v>
      </c>
      <c r="W65" s="111">
        <f t="shared" si="23"/>
        <v>79.26000000000022</v>
      </c>
      <c r="X65" s="155">
        <f t="shared" si="28"/>
        <v>1.1585200000000004</v>
      </c>
      <c r="Y65" s="197">
        <f t="shared" si="16"/>
        <v>0.1255168360271004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269.64</v>
      </c>
      <c r="G66" s="106">
        <v>178.5</v>
      </c>
      <c r="H66" s="102">
        <f t="shared" si="22"/>
        <v>-91.13999999999999</v>
      </c>
      <c r="I66" s="213">
        <f t="shared" si="20"/>
        <v>0.661993769470405</v>
      </c>
      <c r="J66" s="115">
        <f t="shared" si="24"/>
        <v>-687.5</v>
      </c>
      <c r="K66" s="155">
        <f t="shared" si="21"/>
        <v>0.2061200923787529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289.26</v>
      </c>
      <c r="S66" s="115">
        <f t="shared" si="5"/>
        <v>-110.75999999999999</v>
      </c>
      <c r="T66" s="155">
        <f t="shared" si="27"/>
        <v>0.6170918896494504</v>
      </c>
      <c r="U66" s="107">
        <f>F66-березень!F66</f>
        <v>74.5</v>
      </c>
      <c r="V66" s="110">
        <f>G66-березень!G66</f>
        <v>18.19999999999999</v>
      </c>
      <c r="W66" s="111">
        <f t="shared" si="23"/>
        <v>-56.30000000000001</v>
      </c>
      <c r="X66" s="155">
        <f t="shared" si="28"/>
        <v>0.24429530201342267</v>
      </c>
      <c r="Y66" s="197">
        <f t="shared" si="16"/>
        <v>-0.3491887110959023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223.42</v>
      </c>
      <c r="G67" s="94">
        <v>137.94</v>
      </c>
      <c r="H67" s="71">
        <f t="shared" si="22"/>
        <v>-85.47999999999999</v>
      </c>
      <c r="I67" s="209">
        <f t="shared" si="20"/>
        <v>0.6174022021305166</v>
      </c>
      <c r="J67" s="72">
        <f t="shared" si="24"/>
        <v>-590.26</v>
      </c>
      <c r="K67" s="75">
        <f t="shared" si="21"/>
        <v>0.18942598187311177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255.38</v>
      </c>
      <c r="S67" s="203">
        <f t="shared" si="5"/>
        <v>-117.44</v>
      </c>
      <c r="T67" s="204">
        <f t="shared" si="27"/>
        <v>0.540136267522907</v>
      </c>
      <c r="U67" s="73">
        <f>F67-березень!F67</f>
        <v>63</v>
      </c>
      <c r="V67" s="98">
        <f>G67-березень!G67</f>
        <v>13.480000000000004</v>
      </c>
      <c r="W67" s="74">
        <f t="shared" si="23"/>
        <v>-49.519999999999996</v>
      </c>
      <c r="X67" s="75">
        <f t="shared" si="28"/>
        <v>0.21396825396825403</v>
      </c>
      <c r="Y67" s="197">
        <f t="shared" si="16"/>
        <v>-0.41724060923552697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0.2</v>
      </c>
      <c r="G68" s="94">
        <v>0.06</v>
      </c>
      <c r="H68" s="71">
        <f t="shared" si="22"/>
        <v>-0.14</v>
      </c>
      <c r="I68" s="209">
        <f t="shared" si="20"/>
        <v>0.3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0.12</v>
      </c>
      <c r="S68" s="203">
        <f t="shared" si="5"/>
        <v>-0.06</v>
      </c>
      <c r="T68" s="204">
        <f t="shared" si="27"/>
        <v>0.5</v>
      </c>
      <c r="U68" s="73">
        <f>F68-березень!F68</f>
        <v>0.1</v>
      </c>
      <c r="V68" s="98">
        <f>G68-березень!G68</f>
        <v>0</v>
      </c>
      <c r="W68" s="74">
        <f t="shared" si="23"/>
        <v>-0.1</v>
      </c>
      <c r="X68" s="75"/>
      <c r="Y68" s="197">
        <f t="shared" si="16"/>
        <v>-5.055555555555555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F69-березень!F69</f>
        <v>0</v>
      </c>
      <c r="V69" s="98">
        <f>G69-березень!G69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46.02</v>
      </c>
      <c r="G70" s="94">
        <v>40.51</v>
      </c>
      <c r="H70" s="71">
        <f t="shared" si="22"/>
        <v>-5.510000000000005</v>
      </c>
      <c r="I70" s="209">
        <f t="shared" si="20"/>
        <v>0.8802694480660581</v>
      </c>
      <c r="J70" s="72">
        <f t="shared" si="24"/>
        <v>-96.29000000000002</v>
      </c>
      <c r="K70" s="75">
        <f t="shared" si="21"/>
        <v>0.296125730994152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33.77</v>
      </c>
      <c r="S70" s="203">
        <f t="shared" si="5"/>
        <v>6.739999999999995</v>
      </c>
      <c r="T70" s="204">
        <f t="shared" si="27"/>
        <v>1.199585430855789</v>
      </c>
      <c r="U70" s="73">
        <f>F70-березень!F70</f>
        <v>11.400000000000006</v>
      </c>
      <c r="V70" s="98">
        <f>G70-березень!G70</f>
        <v>4.719999999999999</v>
      </c>
      <c r="W70" s="74">
        <f t="shared" si="23"/>
        <v>-6.680000000000007</v>
      </c>
      <c r="X70" s="75">
        <f t="shared" si="28"/>
        <v>0.4140350877192979</v>
      </c>
      <c r="Y70" s="197">
        <f t="shared" si="16"/>
        <v>0.189394912468549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F71-березень!F71</f>
        <v>0</v>
      </c>
      <c r="V71" s="110">
        <f>G71-березень!G71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2608.65</v>
      </c>
      <c r="G72" s="106">
        <v>1921.5</v>
      </c>
      <c r="H72" s="102">
        <f t="shared" si="22"/>
        <v>-687.1500000000001</v>
      </c>
      <c r="I72" s="213">
        <f t="shared" si="20"/>
        <v>0.73658789028808</v>
      </c>
      <c r="J72" s="115">
        <f t="shared" si="24"/>
        <v>-6248.5</v>
      </c>
      <c r="K72" s="155">
        <f t="shared" si="21"/>
        <v>0.23518971848225215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3536.21</v>
      </c>
      <c r="S72" s="115">
        <f t="shared" si="5"/>
        <v>-1614.71</v>
      </c>
      <c r="T72" s="155">
        <f t="shared" si="27"/>
        <v>0.5433783627103594</v>
      </c>
      <c r="U72" s="107">
        <f>F72-березень!F72</f>
        <v>680</v>
      </c>
      <c r="V72" s="110">
        <f>G72-березень!G72</f>
        <v>422.79999999999995</v>
      </c>
      <c r="W72" s="111">
        <f t="shared" si="23"/>
        <v>-257.20000000000005</v>
      </c>
      <c r="X72" s="155">
        <f t="shared" si="28"/>
        <v>0.6217647058823529</v>
      </c>
      <c r="Y72" s="197">
        <f t="shared" si="16"/>
        <v>-0.46689501701888236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F73-березень!F73</f>
        <v>0</v>
      </c>
      <c r="V73" s="110">
        <f>G73-березень!G73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F74-березень!F74</f>
        <v>0</v>
      </c>
      <c r="V74" s="110">
        <f>G74-березень!G74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F75-березень!F75</f>
        <v>0</v>
      </c>
      <c r="V75" s="110">
        <f>G75-березень!G75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20</v>
      </c>
      <c r="G76" s="106">
        <v>0</v>
      </c>
      <c r="H76" s="102">
        <f t="shared" si="22"/>
        <v>-20</v>
      </c>
      <c r="I76" s="213">
        <f>G76/F76</f>
        <v>0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 t="shared" si="5"/>
        <v>-54.64</v>
      </c>
      <c r="T76" s="155">
        <f t="shared" si="27"/>
        <v>0</v>
      </c>
      <c r="U76" s="107">
        <f>F76-березень!F76</f>
        <v>20</v>
      </c>
      <c r="V76" s="110">
        <f>G76-березень!G76</f>
        <v>0</v>
      </c>
      <c r="W76" s="111">
        <f t="shared" si="23"/>
        <v>-20</v>
      </c>
      <c r="X76" s="155">
        <f t="shared" si="28"/>
        <v>0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12.47</v>
      </c>
      <c r="G77" s="106">
        <v>4.74</v>
      </c>
      <c r="H77" s="102">
        <f t="shared" si="22"/>
        <v>-7.73</v>
      </c>
      <c r="I77" s="213">
        <f>G77/F77</f>
        <v>0.38011226944667204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16.85</v>
      </c>
      <c r="S77" s="115">
        <f t="shared" si="5"/>
        <v>-12.110000000000001</v>
      </c>
      <c r="T77" s="155">
        <f t="shared" si="27"/>
        <v>0.2813056379821958</v>
      </c>
      <c r="U77" s="107">
        <f>F77-березень!F77</f>
        <v>2.9000000000000004</v>
      </c>
      <c r="V77" s="110">
        <f>G77-березень!G77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-0.7414880499196159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0.45</v>
      </c>
      <c r="H78" s="102">
        <f t="shared" si="22"/>
        <v>0.45</v>
      </c>
      <c r="I78" s="213" t="e">
        <f>G78/F78</f>
        <v>#DIV/0!</v>
      </c>
      <c r="J78" s="115">
        <f t="shared" si="24"/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-5.25</v>
      </c>
      <c r="S78" s="115">
        <f t="shared" si="5"/>
        <v>5.7</v>
      </c>
      <c r="T78" s="155">
        <f t="shared" si="27"/>
        <v>-0.08571428571428572</v>
      </c>
      <c r="U78" s="107">
        <f>F78-березень!F78</f>
        <v>0</v>
      </c>
      <c r="V78" s="110">
        <f>G78-березень!G78</f>
        <v>0</v>
      </c>
      <c r="W78" s="111">
        <f t="shared" si="23"/>
        <v>0</v>
      </c>
      <c r="X78" s="155"/>
      <c r="Y78" s="197">
        <f t="shared" si="16"/>
        <v>-0.08571428571428572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502291.36</v>
      </c>
      <c r="G79" s="103">
        <f>G8+G53+G77+G78</f>
        <v>423336.62000000005</v>
      </c>
      <c r="H79" s="103">
        <f>G79-F79</f>
        <v>-78954.73999999993</v>
      </c>
      <c r="I79" s="210">
        <f>G79/F79</f>
        <v>0.8428108737526364</v>
      </c>
      <c r="J79" s="104">
        <f>G79-E79</f>
        <v>-1204581.0799999998</v>
      </c>
      <c r="K79" s="156">
        <f>G79/E79</f>
        <v>0.26004792502716817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419761.75</v>
      </c>
      <c r="S79" s="104">
        <f>G79-R79</f>
        <v>3574.8700000000536</v>
      </c>
      <c r="T79" s="156">
        <f>G79/R79</f>
        <v>1.00851642628229</v>
      </c>
      <c r="U79" s="103">
        <f>U8+U53+U77+U78</f>
        <v>130095.803</v>
      </c>
      <c r="V79" s="103">
        <f>V8+V53+V77+V78</f>
        <v>44715.83999999999</v>
      </c>
      <c r="W79" s="135">
        <f>V79-U79</f>
        <v>-85379.96300000002</v>
      </c>
      <c r="X79" s="156">
        <f>V79/U79</f>
        <v>0.3437147007732447</v>
      </c>
      <c r="Y79" s="197">
        <f t="shared" si="16"/>
        <v>-0.15511603923517092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F84-березень!F84</f>
        <v>0</v>
      </c>
      <c r="V84" s="110">
        <f>G84-березень!G84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F85-березень!F85</f>
        <v>0</v>
      </c>
      <c r="V85" s="110">
        <f>G85-березень!G85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F86-березень!F86</f>
        <v>0</v>
      </c>
      <c r="V86" s="174">
        <f>G86-березень!G86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F87-березень!F87</f>
        <v>0</v>
      </c>
      <c r="V87" s="174">
        <f>G87-березень!G87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f>5000+3318.039</f>
        <v>8318.039</v>
      </c>
      <c r="F88" s="125">
        <v>806.429</v>
      </c>
      <c r="G88" s="126">
        <v>806.46</v>
      </c>
      <c r="H88" s="112">
        <f t="shared" si="31"/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0.12</v>
      </c>
      <c r="S88" s="117">
        <f t="shared" si="29"/>
        <v>806.34</v>
      </c>
      <c r="T88" s="147">
        <f t="shared" si="30"/>
        <v>6720.500000000001</v>
      </c>
      <c r="U88" s="112">
        <f>F88-березень!F88</f>
        <v>0</v>
      </c>
      <c r="V88" s="118">
        <f>G88-березень!G88</f>
        <v>0</v>
      </c>
      <c r="W88" s="117">
        <f t="shared" si="34"/>
        <v>0</v>
      </c>
      <c r="X88" s="147" t="e">
        <f>V88/U88</f>
        <v>#DIV/0!</v>
      </c>
      <c r="Y88" s="197">
        <f t="shared" si="16"/>
        <v>6711.633477945723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3015</v>
      </c>
      <c r="G89" s="126">
        <v>1390.87</v>
      </c>
      <c r="H89" s="112">
        <f t="shared" si="31"/>
        <v>-1624.13</v>
      </c>
      <c r="I89" s="213">
        <f>G89/F89</f>
        <v>0.46131674958540625</v>
      </c>
      <c r="J89" s="117">
        <f aca="true" t="shared" si="35" ref="J89:J98">G89-E89</f>
        <v>-15058.130000000001</v>
      </c>
      <c r="K89" s="147">
        <f>G89/E89</f>
        <v>0.08455650799440695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302.92</v>
      </c>
      <c r="S89" s="117">
        <f t="shared" si="29"/>
        <v>1087.9499999999998</v>
      </c>
      <c r="T89" s="147">
        <f t="shared" si="30"/>
        <v>4.591542321404991</v>
      </c>
      <c r="U89" s="112">
        <f>F89-березень!F89</f>
        <v>1000</v>
      </c>
      <c r="V89" s="118">
        <f>G89-березень!G89</f>
        <v>189.15999999999985</v>
      </c>
      <c r="W89" s="117">
        <f t="shared" si="34"/>
        <v>-810.8400000000001</v>
      </c>
      <c r="X89" s="147">
        <f>V89/U89</f>
        <v>0.18915999999999986</v>
      </c>
      <c r="Y89" s="197">
        <f t="shared" si="16"/>
        <v>2.5716863600117583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f>22000+15</f>
        <v>22015</v>
      </c>
      <c r="F90" s="125">
        <v>8000</v>
      </c>
      <c r="G90" s="126">
        <v>1718.57</v>
      </c>
      <c r="H90" s="112">
        <f t="shared" si="31"/>
        <v>-6281.43</v>
      </c>
      <c r="I90" s="213">
        <f>G90/F90</f>
        <v>0.21482125</v>
      </c>
      <c r="J90" s="117">
        <f t="shared" si="35"/>
        <v>-20296.43</v>
      </c>
      <c r="K90" s="147">
        <f>G90/E90</f>
        <v>0.07806359300476948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1821.45</v>
      </c>
      <c r="S90" s="117">
        <f t="shared" si="29"/>
        <v>-102.88000000000011</v>
      </c>
      <c r="T90" s="147">
        <f t="shared" si="30"/>
        <v>0.9435175272447774</v>
      </c>
      <c r="U90" s="112">
        <f>F90-березень!F90</f>
        <v>2000</v>
      </c>
      <c r="V90" s="118">
        <f>G90-березень!G90</f>
        <v>260.78</v>
      </c>
      <c r="W90" s="117">
        <f t="shared" si="34"/>
        <v>-1739.22</v>
      </c>
      <c r="X90" s="147">
        <f>V90/U90</f>
        <v>0.13038999999999998</v>
      </c>
      <c r="Y90" s="197">
        <f t="shared" si="16"/>
        <v>-0.3285934546873751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8</v>
      </c>
      <c r="G91" s="126">
        <v>3</v>
      </c>
      <c r="H91" s="112">
        <f t="shared" si="31"/>
        <v>-5</v>
      </c>
      <c r="I91" s="213">
        <f>G91/F91</f>
        <v>0.375</v>
      </c>
      <c r="J91" s="117">
        <f t="shared" si="35"/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5</v>
      </c>
      <c r="S91" s="117">
        <f t="shared" si="29"/>
        <v>-2</v>
      </c>
      <c r="T91" s="147">
        <f t="shared" si="30"/>
        <v>0.6</v>
      </c>
      <c r="U91" s="112">
        <f>F91-березень!F91</f>
        <v>2</v>
      </c>
      <c r="V91" s="118">
        <f>G91-березень!G91</f>
        <v>0</v>
      </c>
      <c r="W91" s="117">
        <f t="shared" si="34"/>
        <v>-2</v>
      </c>
      <c r="X91" s="147">
        <f>V91/U91</f>
        <v>0</v>
      </c>
      <c r="Y91" s="197">
        <f t="shared" si="16"/>
        <v>-0.6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11829.429</v>
      </c>
      <c r="G92" s="128">
        <f>G88+G89+G90+G91</f>
        <v>3918.8999999999996</v>
      </c>
      <c r="H92" s="129">
        <f t="shared" si="31"/>
        <v>-7910.529</v>
      </c>
      <c r="I92" s="216">
        <f>G92/F92</f>
        <v>0.33128395292790547</v>
      </c>
      <c r="J92" s="131">
        <f t="shared" si="35"/>
        <v>-42887.139</v>
      </c>
      <c r="K92" s="151">
        <f>G92/E92</f>
        <v>0.08372637556448644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2129.48</v>
      </c>
      <c r="S92" s="117">
        <f t="shared" si="29"/>
        <v>1789.4199999999996</v>
      </c>
      <c r="T92" s="147">
        <f t="shared" si="30"/>
        <v>1.8403084321054903</v>
      </c>
      <c r="U92" s="129">
        <f>F92-березень!F92</f>
        <v>3002</v>
      </c>
      <c r="V92" s="174">
        <f>G92-березень!G92</f>
        <v>449.9399999999996</v>
      </c>
      <c r="W92" s="131">
        <f t="shared" si="34"/>
        <v>-2552.0600000000004</v>
      </c>
      <c r="X92" s="151">
        <f>V92/U92</f>
        <v>0.14988007994670208</v>
      </c>
      <c r="Y92" s="197">
        <f t="shared" si="16"/>
        <v>0.06786668603635726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11</v>
      </c>
      <c r="G93" s="126">
        <v>1.3</v>
      </c>
      <c r="H93" s="112">
        <f t="shared" si="31"/>
        <v>-9.7</v>
      </c>
      <c r="I93" s="213"/>
      <c r="J93" s="117">
        <f t="shared" si="35"/>
        <v>-41.7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9.25</v>
      </c>
      <c r="S93" s="117">
        <f t="shared" si="29"/>
        <v>-7.95</v>
      </c>
      <c r="T93" s="147">
        <f t="shared" si="30"/>
        <v>0.14054054054054055</v>
      </c>
      <c r="U93" s="112">
        <f>F93-березень!F93</f>
        <v>4</v>
      </c>
      <c r="V93" s="118">
        <f>G93-березень!G93</f>
        <v>0.06000000000000005</v>
      </c>
      <c r="W93" s="117">
        <f t="shared" si="34"/>
        <v>-3.94</v>
      </c>
      <c r="X93" s="147"/>
      <c r="Y93" s="197">
        <f t="shared" si="16"/>
        <v>-0.7339764413589916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F94-березень!F94</f>
        <v>0</v>
      </c>
      <c r="V94" s="118">
        <f>G94-березень!G94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2833.45</v>
      </c>
      <c r="G95" s="126">
        <v>2503.28</v>
      </c>
      <c r="H95" s="112">
        <f t="shared" si="31"/>
        <v>-330.1699999999996</v>
      </c>
      <c r="I95" s="213">
        <f>G95/F95</f>
        <v>0.8834742098854754</v>
      </c>
      <c r="J95" s="117">
        <f t="shared" si="35"/>
        <v>-6546.719999999999</v>
      </c>
      <c r="K95" s="147">
        <f>G95/E95</f>
        <v>0.27660552486187845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2231.54</v>
      </c>
      <c r="S95" s="117">
        <f t="shared" si="29"/>
        <v>271.74000000000024</v>
      </c>
      <c r="T95" s="147">
        <f t="shared" si="30"/>
        <v>1.1217724082920317</v>
      </c>
      <c r="U95" s="112">
        <f>F95-березень!F95</f>
        <v>13.699999999999818</v>
      </c>
      <c r="V95" s="118">
        <f>G95-березень!G95</f>
        <v>1.930000000000291</v>
      </c>
      <c r="W95" s="117">
        <f t="shared" si="34"/>
        <v>-11.769999999999527</v>
      </c>
      <c r="X95" s="147">
        <f>V95/U95</f>
        <v>0.14087591240878225</v>
      </c>
      <c r="Y95" s="197">
        <f t="shared" si="16"/>
        <v>-0.004698538715289802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G96-березень!G96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2844.45</v>
      </c>
      <c r="G97" s="128">
        <f>G93+G96+G94+G95</f>
        <v>2504.5800000000004</v>
      </c>
      <c r="H97" s="129">
        <f t="shared" si="31"/>
        <v>-339.86999999999944</v>
      </c>
      <c r="I97" s="216">
        <f>G97/F97</f>
        <v>0.8805146864947532</v>
      </c>
      <c r="J97" s="131">
        <f t="shared" si="35"/>
        <v>-6588.42</v>
      </c>
      <c r="K97" s="151">
        <f>G97/E97</f>
        <v>0.2754404486967998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2240.82</v>
      </c>
      <c r="S97" s="117">
        <f t="shared" si="29"/>
        <v>263.7600000000002</v>
      </c>
      <c r="T97" s="147">
        <f t="shared" si="30"/>
        <v>1.1177069108629878</v>
      </c>
      <c r="U97" s="129">
        <f>F97-березень!F97</f>
        <v>17.699999999999818</v>
      </c>
      <c r="V97" s="174">
        <f>G97-лютий!G97</f>
        <v>126.32000000000062</v>
      </c>
      <c r="W97" s="131">
        <f t="shared" si="34"/>
        <v>108.6200000000008</v>
      </c>
      <c r="X97" s="151">
        <f>V97/U97</f>
        <v>7.136723163841916</v>
      </c>
      <c r="Y97" s="197">
        <f t="shared" si="16"/>
        <v>-0.007217469426525902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47.413</v>
      </c>
      <c r="F98" s="125">
        <v>13.99</v>
      </c>
      <c r="G98" s="126">
        <v>13.47</v>
      </c>
      <c r="H98" s="112">
        <f t="shared" si="31"/>
        <v>-0.5199999999999996</v>
      </c>
      <c r="I98" s="213">
        <f>G98/F98</f>
        <v>0.9628305932809149</v>
      </c>
      <c r="J98" s="117">
        <f t="shared" si="35"/>
        <v>-33.943</v>
      </c>
      <c r="K98" s="147">
        <f>G98/E98</f>
        <v>0.2840992976609791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7.6</v>
      </c>
      <c r="S98" s="117">
        <f t="shared" si="29"/>
        <v>5.870000000000001</v>
      </c>
      <c r="T98" s="147">
        <f t="shared" si="30"/>
        <v>1.7723684210526318</v>
      </c>
      <c r="U98" s="112">
        <f>F98-березень!F98</f>
        <v>5.86478</v>
      </c>
      <c r="V98" s="118">
        <f>G98-березень!G98</f>
        <v>0.5600000000000005</v>
      </c>
      <c r="W98" s="117">
        <f t="shared" si="34"/>
        <v>-5.304779999999999</v>
      </c>
      <c r="X98" s="147">
        <f>V98/U98</f>
        <v>0.09548525264374802</v>
      </c>
      <c r="Y98" s="197">
        <f t="shared" si="16"/>
        <v>0.5233431312739174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14687.869</v>
      </c>
      <c r="G100" s="183">
        <f>G86+G87+G92+G97+G98</f>
        <v>6436.96</v>
      </c>
      <c r="H100" s="184">
        <f>G100-F100</f>
        <v>-8250.909</v>
      </c>
      <c r="I100" s="217">
        <f>G100/F100</f>
        <v>0.43825009604865073</v>
      </c>
      <c r="J100" s="177">
        <f>G100-E100</f>
        <v>-49509.492000000006</v>
      </c>
      <c r="K100" s="178">
        <f>G100/E100</f>
        <v>0.11505573222051685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4413.47</v>
      </c>
      <c r="S100" s="177">
        <f>G100-R100</f>
        <v>2023.4899999999998</v>
      </c>
      <c r="T100" s="178">
        <f t="shared" si="30"/>
        <v>1.4584805153314737</v>
      </c>
      <c r="U100" s="183">
        <f>U86+U87+U92+U97+U98</f>
        <v>3025.5647799999997</v>
      </c>
      <c r="V100" s="183">
        <f>V86+V87+V92+V97+V98</f>
        <v>576.8200000000002</v>
      </c>
      <c r="W100" s="177">
        <f>V100-U100</f>
        <v>-2448.7447799999995</v>
      </c>
      <c r="X100" s="178">
        <f>V100/U100</f>
        <v>0.1906487026200775</v>
      </c>
      <c r="Y100" s="197">
        <f>T100-Q100</f>
        <v>-0.16025752962397877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1683864.152</v>
      </c>
      <c r="F101" s="183">
        <f>F79+F100</f>
        <v>516979.229</v>
      </c>
      <c r="G101" s="183">
        <f>G79+G100</f>
        <v>429773.5800000001</v>
      </c>
      <c r="H101" s="184">
        <f>G101-F101</f>
        <v>-87205.64899999992</v>
      </c>
      <c r="I101" s="217">
        <f>G101/F101</f>
        <v>0.8313169193108918</v>
      </c>
      <c r="J101" s="177">
        <f>G101-E101</f>
        <v>-1254090.572</v>
      </c>
      <c r="K101" s="178">
        <f>G101/E101</f>
        <v>0.25523055377688214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424175.22</v>
      </c>
      <c r="S101" s="177">
        <f>S79+S100</f>
        <v>5598.360000000053</v>
      </c>
      <c r="T101" s="178">
        <f t="shared" si="30"/>
        <v>1.0131982250165394</v>
      </c>
      <c r="U101" s="184">
        <f>U79+U100</f>
        <v>133121.36778</v>
      </c>
      <c r="V101" s="184">
        <f>V79+V100</f>
        <v>45292.65999999999</v>
      </c>
      <c r="W101" s="177">
        <f>V101-U101</f>
        <v>-87828.70778000001</v>
      </c>
      <c r="X101" s="178">
        <f>V101/U101</f>
        <v>0.3402358370810302</v>
      </c>
      <c r="Y101" s="197">
        <f>T101-Q101</f>
        <v>-0.1614064173076164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11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0" t="s">
        <v>145</v>
      </c>
      <c r="C104" s="261"/>
      <c r="D104" s="4" t="s">
        <v>24</v>
      </c>
      <c r="F104" s="78"/>
      <c r="G104" s="261">
        <f>IF(H79&lt;0,ABS(H79/C103),0)</f>
        <v>7177.70363636363</v>
      </c>
      <c r="H104" s="262"/>
      <c r="I104" s="262"/>
      <c r="J104" s="262"/>
      <c r="V104" s="261">
        <f>IF(W79&lt;0,ABS(W79/C103),0)</f>
        <v>7761.81481818182</v>
      </c>
    </row>
    <row r="105" spans="2:7" ht="30.75">
      <c r="B105" s="263" t="s">
        <v>146</v>
      </c>
      <c r="C105" s="264">
        <v>43202</v>
      </c>
      <c r="D105" s="261"/>
      <c r="E105" s="261">
        <v>4732.5</v>
      </c>
      <c r="F105" s="78"/>
      <c r="G105" s="4" t="s">
        <v>147</v>
      </c>
    </row>
    <row r="106" spans="3:10" ht="15">
      <c r="C106" s="264">
        <v>43201</v>
      </c>
      <c r="D106" s="261"/>
      <c r="E106" s="261">
        <v>3493.4</v>
      </c>
      <c r="F106" s="78"/>
      <c r="G106" s="278"/>
      <c r="H106" s="278"/>
      <c r="I106" s="265"/>
      <c r="J106" s="266"/>
    </row>
    <row r="107" spans="3:10" ht="15">
      <c r="C107" s="264">
        <v>43200</v>
      </c>
      <c r="D107" s="261"/>
      <c r="E107" s="261">
        <v>2661.2</v>
      </c>
      <c r="F107" s="78"/>
      <c r="G107" s="278"/>
      <c r="H107" s="278"/>
      <c r="I107" s="265"/>
      <c r="J107" s="267"/>
    </row>
    <row r="108" spans="3:10" ht="15">
      <c r="C108" s="264"/>
      <c r="D108" s="4"/>
      <c r="F108" s="268"/>
      <c r="G108" s="279"/>
      <c r="H108" s="279"/>
      <c r="I108" s="269"/>
      <c r="J108" s="266"/>
    </row>
    <row r="109" spans="2:10" ht="16.5">
      <c r="B109" s="280" t="s">
        <v>148</v>
      </c>
      <c r="C109" s="281"/>
      <c r="D109" s="270"/>
      <c r="E109" s="273">
        <v>189.52627999999999</v>
      </c>
      <c r="F109" s="271" t="s">
        <v>149</v>
      </c>
      <c r="G109" s="278"/>
      <c r="H109" s="278"/>
      <c r="I109" s="272"/>
      <c r="J109" s="266"/>
    </row>
  </sheetData>
  <sheetProtection/>
  <mergeCells count="27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G106:H106"/>
    <mergeCell ref="G107:H107"/>
    <mergeCell ref="G108:H108"/>
    <mergeCell ref="B109:C109"/>
    <mergeCell ref="G109:H109"/>
  </mergeCells>
  <printOptions/>
  <pageMargins left="0" right="0" top="0" bottom="0" header="0" footer="0"/>
  <pageSetup fitToHeight="2" fitToWidth="1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9"/>
  <sheetViews>
    <sheetView zoomScale="78" zoomScaleNormal="78" zoomScalePageLayoutView="0" workbookViewId="0" topLeftCell="B1">
      <pane xSplit="3" ySplit="8" topLeftCell="E107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114" sqref="B11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300" t="s">
        <v>163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186"/>
    </row>
    <row r="2" spans="2:25" s="1" customFormat="1" ht="15.75" customHeight="1">
      <c r="B2" s="301"/>
      <c r="C2" s="301"/>
      <c r="D2" s="301"/>
      <c r="E2" s="301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02"/>
      <c r="B3" s="304"/>
      <c r="C3" s="305" t="s">
        <v>0</v>
      </c>
      <c r="D3" s="306" t="s">
        <v>131</v>
      </c>
      <c r="E3" s="306" t="s">
        <v>162</v>
      </c>
      <c r="F3" s="25"/>
      <c r="G3" s="307" t="s">
        <v>26</v>
      </c>
      <c r="H3" s="308"/>
      <c r="I3" s="308"/>
      <c r="J3" s="308"/>
      <c r="K3" s="309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10" t="s">
        <v>160</v>
      </c>
      <c r="V3" s="311" t="s">
        <v>161</v>
      </c>
      <c r="W3" s="311"/>
      <c r="X3" s="311"/>
      <c r="Y3" s="194"/>
    </row>
    <row r="4" spans="1:24" ht="22.5" customHeight="1">
      <c r="A4" s="302"/>
      <c r="B4" s="304"/>
      <c r="C4" s="305"/>
      <c r="D4" s="306"/>
      <c r="E4" s="306"/>
      <c r="F4" s="294" t="s">
        <v>156</v>
      </c>
      <c r="G4" s="296" t="s">
        <v>31</v>
      </c>
      <c r="H4" s="284" t="s">
        <v>157</v>
      </c>
      <c r="I4" s="298" t="s">
        <v>158</v>
      </c>
      <c r="J4" s="284" t="s">
        <v>132</v>
      </c>
      <c r="K4" s="298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98"/>
      <c r="V4" s="282" t="s">
        <v>164</v>
      </c>
      <c r="W4" s="284" t="s">
        <v>44</v>
      </c>
      <c r="X4" s="286" t="s">
        <v>43</v>
      </c>
    </row>
    <row r="5" spans="1:24" ht="67.5" customHeight="1">
      <c r="A5" s="303"/>
      <c r="B5" s="304"/>
      <c r="C5" s="305"/>
      <c r="D5" s="306"/>
      <c r="E5" s="306"/>
      <c r="F5" s="295"/>
      <c r="G5" s="297"/>
      <c r="H5" s="285"/>
      <c r="I5" s="299"/>
      <c r="J5" s="285"/>
      <c r="K5" s="299"/>
      <c r="L5" s="287" t="s">
        <v>135</v>
      </c>
      <c r="M5" s="288"/>
      <c r="N5" s="289"/>
      <c r="O5" s="290" t="s">
        <v>153</v>
      </c>
      <c r="P5" s="291"/>
      <c r="Q5" s="292"/>
      <c r="R5" s="293" t="s">
        <v>159</v>
      </c>
      <c r="S5" s="293"/>
      <c r="T5" s="293"/>
      <c r="U5" s="299"/>
      <c r="V5" s="283"/>
      <c r="W5" s="285"/>
      <c r="X5" s="286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367118.1</v>
      </c>
      <c r="H8" s="103">
        <f>G8-F8</f>
        <v>5575.160999999964</v>
      </c>
      <c r="I8" s="210">
        <f aca="true" t="shared" si="0" ref="I8:I15">G8/F8</f>
        <v>1.0154204671108236</v>
      </c>
      <c r="J8" s="104">
        <f aca="true" t="shared" si="1" ref="J8:J52">G8-E8</f>
        <v>-1213515.7000000002</v>
      </c>
      <c r="K8" s="156">
        <f aca="true" t="shared" si="2" ref="K8:K14">G8/E8</f>
        <v>0.23226005922434403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293545.77</v>
      </c>
      <c r="S8" s="103">
        <f aca="true" t="shared" si="5" ref="S8:S78">G8-R8</f>
        <v>73572.32999999996</v>
      </c>
      <c r="T8" s="143">
        <f aca="true" t="shared" si="6" ref="T8:T20">G8/R8</f>
        <v>1.2506332487775245</v>
      </c>
      <c r="U8" s="103">
        <f>U9+U15+U18+U19+U23+U17</f>
        <v>119781.5</v>
      </c>
      <c r="V8" s="103">
        <f>V9+V15+V18+V19+V23+V17</f>
        <v>125226.18000000001</v>
      </c>
      <c r="W8" s="103">
        <f>V8-U8</f>
        <v>5444.680000000008</v>
      </c>
      <c r="X8" s="143">
        <f aca="true" t="shared" si="7" ref="X8:X15">V8/U8</f>
        <v>1.0454550994936613</v>
      </c>
      <c r="Y8" s="199">
        <f aca="true" t="shared" si="8" ref="Y8:Y22">T8-Q8</f>
        <v>0.06181683724639342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209196.339</v>
      </c>
      <c r="G9" s="106">
        <v>218795.53</v>
      </c>
      <c r="H9" s="102">
        <f>G9-F9</f>
        <v>9599.190999999992</v>
      </c>
      <c r="I9" s="208">
        <f t="shared" si="0"/>
        <v>1.0458860372312728</v>
      </c>
      <c r="J9" s="108">
        <f t="shared" si="1"/>
        <v>-737407.47</v>
      </c>
      <c r="K9" s="148">
        <f t="shared" si="2"/>
        <v>0.22881702943830964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162187.36</v>
      </c>
      <c r="S9" s="109">
        <f t="shared" si="5"/>
        <v>56608.17000000001</v>
      </c>
      <c r="T9" s="144">
        <f t="shared" si="6"/>
        <v>1.3490294804724612</v>
      </c>
      <c r="U9" s="107">
        <f>F9-лютий!F9</f>
        <v>70204</v>
      </c>
      <c r="V9" s="110">
        <f>G9-лютий!G9</f>
        <v>78716.66</v>
      </c>
      <c r="W9" s="111">
        <f>V9-U9</f>
        <v>8512.660000000003</v>
      </c>
      <c r="X9" s="148">
        <f t="shared" si="7"/>
        <v>1.1212560537861092</v>
      </c>
      <c r="Y9" s="200">
        <f t="shared" si="8"/>
        <v>0.11652608858530367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v>192878.7</v>
      </c>
      <c r="G10" s="94">
        <v>199834.89</v>
      </c>
      <c r="H10" s="71">
        <f aca="true" t="shared" si="9" ref="H10:H47">G10-F10</f>
        <v>6956.190000000002</v>
      </c>
      <c r="I10" s="209">
        <f t="shared" si="0"/>
        <v>1.0360651020563703</v>
      </c>
      <c r="J10" s="72">
        <f t="shared" si="1"/>
        <v>-681968.11</v>
      </c>
      <c r="K10" s="75">
        <f t="shared" si="2"/>
        <v>0.2266207871826247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148315.37</v>
      </c>
      <c r="S10" s="74">
        <f t="shared" si="5"/>
        <v>51519.52000000002</v>
      </c>
      <c r="T10" s="145">
        <f t="shared" si="6"/>
        <v>1.34736467299377</v>
      </c>
      <c r="U10" s="73">
        <f>F10-лютий!F10</f>
        <v>65100.000000000015</v>
      </c>
      <c r="V10" s="98">
        <f>G10-лютий!G10</f>
        <v>72045.44000000002</v>
      </c>
      <c r="W10" s="74">
        <f aca="true" t="shared" si="10" ref="W10:W52">V10-U10</f>
        <v>6945.440000000002</v>
      </c>
      <c r="X10" s="75">
        <f t="shared" si="7"/>
        <v>1.106688786482335</v>
      </c>
      <c r="Y10" s="198">
        <f t="shared" si="8"/>
        <v>0.10521322837077918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10754.7</v>
      </c>
      <c r="G11" s="94">
        <v>12023.19</v>
      </c>
      <c r="H11" s="71">
        <f t="shared" si="9"/>
        <v>1268.4899999999998</v>
      </c>
      <c r="I11" s="209">
        <f t="shared" si="0"/>
        <v>1.1179475020223715</v>
      </c>
      <c r="J11" s="72">
        <f t="shared" si="1"/>
        <v>-37876.81</v>
      </c>
      <c r="K11" s="75">
        <f t="shared" si="2"/>
        <v>0.24094569138276553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9104.48</v>
      </c>
      <c r="S11" s="74">
        <f t="shared" si="5"/>
        <v>2918.710000000001</v>
      </c>
      <c r="T11" s="145">
        <f t="shared" si="6"/>
        <v>1.3205795388643833</v>
      </c>
      <c r="U11" s="73">
        <f>F11-лютий!F11</f>
        <v>3670.000000000001</v>
      </c>
      <c r="V11" s="98">
        <f>G11-лютий!G11</f>
        <v>4335.790000000001</v>
      </c>
      <c r="W11" s="74">
        <f t="shared" si="10"/>
        <v>665.79</v>
      </c>
      <c r="X11" s="75">
        <f t="shared" si="7"/>
        <v>1.1814141689373296</v>
      </c>
      <c r="Y11" s="198">
        <f t="shared" si="8"/>
        <v>0.14691506437088786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2294.409</v>
      </c>
      <c r="G12" s="94">
        <v>3279.15</v>
      </c>
      <c r="H12" s="71">
        <f t="shared" si="9"/>
        <v>984.741</v>
      </c>
      <c r="I12" s="209">
        <f t="shared" si="0"/>
        <v>1.4291915695937385</v>
      </c>
      <c r="J12" s="72">
        <f t="shared" si="1"/>
        <v>-8720.85</v>
      </c>
      <c r="K12" s="75">
        <f t="shared" si="2"/>
        <v>0.2732625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1764.69</v>
      </c>
      <c r="S12" s="74">
        <f t="shared" si="5"/>
        <v>1514.46</v>
      </c>
      <c r="T12" s="145">
        <f t="shared" si="6"/>
        <v>1.8582017238155144</v>
      </c>
      <c r="U12" s="73">
        <f>F12-лютий!F12</f>
        <v>830</v>
      </c>
      <c r="V12" s="98">
        <f>G12-лютий!G12</f>
        <v>1686.23</v>
      </c>
      <c r="W12" s="74">
        <f t="shared" si="10"/>
        <v>856.23</v>
      </c>
      <c r="X12" s="75">
        <f t="shared" si="7"/>
        <v>2.031602409638554</v>
      </c>
      <c r="Y12" s="198">
        <f t="shared" si="8"/>
        <v>0.8575471289346965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3056.9</v>
      </c>
      <c r="G13" s="94">
        <v>3350.68</v>
      </c>
      <c r="H13" s="71">
        <f t="shared" si="9"/>
        <v>293.77999999999975</v>
      </c>
      <c r="I13" s="209">
        <f t="shared" si="0"/>
        <v>1.096103896103896</v>
      </c>
      <c r="J13" s="72">
        <f t="shared" si="1"/>
        <v>-8649.32</v>
      </c>
      <c r="K13" s="75">
        <f t="shared" si="2"/>
        <v>0.2792233333333333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2629.16</v>
      </c>
      <c r="S13" s="74">
        <f t="shared" si="5"/>
        <v>721.52</v>
      </c>
      <c r="T13" s="145">
        <f t="shared" si="6"/>
        <v>1.274429855923565</v>
      </c>
      <c r="U13" s="73">
        <f>F13-лютий!F13</f>
        <v>571</v>
      </c>
      <c r="V13" s="98">
        <f>G13-лютий!G13</f>
        <v>649.21</v>
      </c>
      <c r="W13" s="74">
        <f t="shared" si="10"/>
        <v>78.21000000000004</v>
      </c>
      <c r="X13" s="75">
        <f t="shared" si="7"/>
        <v>1.1369702276707532</v>
      </c>
      <c r="Y13" s="198">
        <f t="shared" si="8"/>
        <v>0.07883085584286187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211.63</v>
      </c>
      <c r="G14" s="94">
        <v>307.62</v>
      </c>
      <c r="H14" s="71">
        <f t="shared" si="9"/>
        <v>95.99000000000001</v>
      </c>
      <c r="I14" s="209">
        <f t="shared" si="0"/>
        <v>1.4535746349761376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373.67</v>
      </c>
      <c r="S14" s="74">
        <f t="shared" si="5"/>
        <v>-66.05000000000001</v>
      </c>
      <c r="T14" s="145">
        <f t="shared" si="6"/>
        <v>0.8232397570048439</v>
      </c>
      <c r="U14" s="73">
        <f>F14-лютий!F14</f>
        <v>33</v>
      </c>
      <c r="V14" s="98">
        <f>G14-лютий!G14</f>
        <v>0</v>
      </c>
      <c r="W14" s="74">
        <f t="shared" si="10"/>
        <v>-33</v>
      </c>
      <c r="X14" s="75">
        <f t="shared" si="7"/>
        <v>0</v>
      </c>
      <c r="Y14" s="198">
        <f t="shared" si="8"/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60</v>
      </c>
      <c r="G15" s="106">
        <v>337.62</v>
      </c>
      <c r="H15" s="102">
        <f t="shared" si="9"/>
        <v>277.62</v>
      </c>
      <c r="I15" s="208">
        <f t="shared" si="0"/>
        <v>5.627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-366.42</v>
      </c>
      <c r="S15" s="111">
        <f t="shared" si="5"/>
        <v>704.04</v>
      </c>
      <c r="T15" s="146">
        <f t="shared" si="6"/>
        <v>-0.9214016702145079</v>
      </c>
      <c r="U15" s="107">
        <f>F15-лютий!F15</f>
        <v>50</v>
      </c>
      <c r="V15" s="110">
        <f>G15-лютий!G15</f>
        <v>218.09</v>
      </c>
      <c r="W15" s="111">
        <f t="shared" si="10"/>
        <v>168.09</v>
      </c>
      <c r="X15" s="148">
        <f t="shared" si="7"/>
        <v>4.3618</v>
      </c>
      <c r="Y15" s="197">
        <f t="shared" si="8"/>
        <v>-1.9353605034858772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F16-лютий!F16</f>
        <v>0</v>
      </c>
      <c r="V16" s="110">
        <f>G16-лютий!G16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F17-лютий!F17</f>
        <v>0</v>
      </c>
      <c r="V17" s="110">
        <f>G17-лютий!G17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F18-лютий!F18</f>
        <v>0</v>
      </c>
      <c r="V18" s="110">
        <f>G18-лютий!G18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33615</v>
      </c>
      <c r="G19" s="158">
        <v>27605.58</v>
      </c>
      <c r="H19" s="102">
        <f t="shared" si="9"/>
        <v>-6009.419999999998</v>
      </c>
      <c r="I19" s="208">
        <f t="shared" si="12"/>
        <v>0.8212280232039268</v>
      </c>
      <c r="J19" s="108">
        <f t="shared" si="1"/>
        <v>-124122.42</v>
      </c>
      <c r="K19" s="108">
        <f t="shared" si="11"/>
        <v>18.19412369503322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27633.86</v>
      </c>
      <c r="S19" s="111">
        <f t="shared" si="5"/>
        <v>-28.279999999998836</v>
      </c>
      <c r="T19" s="146">
        <f t="shared" si="6"/>
        <v>0.9989766178159692</v>
      </c>
      <c r="U19" s="107">
        <f>F19-лютий!F19</f>
        <v>24549</v>
      </c>
      <c r="V19" s="110">
        <f>G19-лютий!G19</f>
        <v>19077.010000000002</v>
      </c>
      <c r="W19" s="111">
        <f t="shared" si="10"/>
        <v>-5471.989999999998</v>
      </c>
      <c r="X19" s="148">
        <f t="shared" si="13"/>
        <v>0.777099270846063</v>
      </c>
      <c r="Y19" s="197">
        <f t="shared" si="8"/>
        <v>-0.2452039956708213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13215</v>
      </c>
      <c r="G20" s="141">
        <v>12638.37</v>
      </c>
      <c r="H20" s="170">
        <f t="shared" si="9"/>
        <v>-576.6299999999992</v>
      </c>
      <c r="I20" s="211">
        <f t="shared" si="12"/>
        <v>0.9563654937570942</v>
      </c>
      <c r="J20" s="171">
        <f t="shared" si="1"/>
        <v>-54069.63</v>
      </c>
      <c r="K20" s="171">
        <f t="shared" si="11"/>
        <v>18.945808598668826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17734.06</v>
      </c>
      <c r="S20" s="116">
        <f t="shared" si="5"/>
        <v>-5095.6900000000005</v>
      </c>
      <c r="T20" s="172">
        <f t="shared" si="6"/>
        <v>0.7126608345748238</v>
      </c>
      <c r="U20" s="136">
        <f>F20-лютий!F20</f>
        <v>4149</v>
      </c>
      <c r="V20" s="124">
        <f>G20-лютий!G20</f>
        <v>4109.800000000001</v>
      </c>
      <c r="W20" s="116">
        <f t="shared" si="10"/>
        <v>-39.19999999999891</v>
      </c>
      <c r="X20" s="180">
        <f t="shared" si="13"/>
        <v>0.9905519402265609</v>
      </c>
      <c r="Y20" s="197">
        <f t="shared" si="8"/>
        <v>-0.3856582143653102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3900</v>
      </c>
      <c r="G21" s="141">
        <v>3512.86</v>
      </c>
      <c r="H21" s="170">
        <f t="shared" si="9"/>
        <v>-387.1399999999999</v>
      </c>
      <c r="I21" s="211">
        <f t="shared" si="12"/>
        <v>0.9007333333333334</v>
      </c>
      <c r="J21" s="171">
        <f t="shared" si="1"/>
        <v>-12183.14</v>
      </c>
      <c r="K21" s="171">
        <f t="shared" si="11"/>
        <v>22.380606523955148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2236.79</v>
      </c>
      <c r="S21" s="116">
        <f t="shared" si="5"/>
        <v>1276.0700000000002</v>
      </c>
      <c r="T21" s="172"/>
      <c r="U21" s="136">
        <f>F21-лютий!F21</f>
        <v>3900</v>
      </c>
      <c r="V21" s="124">
        <f>G21-лютий!G21</f>
        <v>3512.86</v>
      </c>
      <c r="W21" s="116">
        <f t="shared" si="10"/>
        <v>-387.1399999999999</v>
      </c>
      <c r="X21" s="180">
        <f t="shared" si="13"/>
        <v>0.9007333333333334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16500</v>
      </c>
      <c r="G22" s="141">
        <v>11454.35</v>
      </c>
      <c r="H22" s="170">
        <f t="shared" si="9"/>
        <v>-5045.65</v>
      </c>
      <c r="I22" s="211">
        <f t="shared" si="12"/>
        <v>0.6942030303030303</v>
      </c>
      <c r="J22" s="171">
        <f t="shared" si="1"/>
        <v>-57869.65</v>
      </c>
      <c r="K22" s="171">
        <f t="shared" si="11"/>
        <v>16.522921354797763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7663.01</v>
      </c>
      <c r="S22" s="116">
        <f t="shared" si="5"/>
        <v>3791.34</v>
      </c>
      <c r="T22" s="172"/>
      <c r="U22" s="136">
        <f>F22-лютий!F22</f>
        <v>16500</v>
      </c>
      <c r="V22" s="124">
        <f>G22-лютий!G22</f>
        <v>11454.35</v>
      </c>
      <c r="W22" s="116">
        <f t="shared" si="10"/>
        <v>-5045.65</v>
      </c>
      <c r="X22" s="180">
        <f t="shared" si="13"/>
        <v>0.6942030303030303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120185.13</v>
      </c>
      <c r="H23" s="102">
        <f t="shared" si="9"/>
        <v>1633.5299999999988</v>
      </c>
      <c r="I23" s="208">
        <f t="shared" si="12"/>
        <v>1.013779063293958</v>
      </c>
      <c r="J23" s="108">
        <f t="shared" si="1"/>
        <v>-351382.06999999995</v>
      </c>
      <c r="K23" s="108">
        <f t="shared" si="11"/>
        <v>25.486320931566063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103972.5</v>
      </c>
      <c r="S23" s="111">
        <f t="shared" si="5"/>
        <v>16212.630000000005</v>
      </c>
      <c r="T23" s="147">
        <f aca="true" t="shared" si="14" ref="T23:T41">G23/R23</f>
        <v>1.1559319050710526</v>
      </c>
      <c r="U23" s="107">
        <f>F23-лютий!F23</f>
        <v>24978.5</v>
      </c>
      <c r="V23" s="110">
        <f>G23-лютий!G23</f>
        <v>27214.42</v>
      </c>
      <c r="W23" s="111">
        <f t="shared" si="10"/>
        <v>2235.9199999999983</v>
      </c>
      <c r="X23" s="148">
        <f t="shared" si="13"/>
        <v>1.089513781852393</v>
      </c>
      <c r="Y23" s="197">
        <f>T23-Q23</f>
        <v>0.06106035130635723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51067.02</v>
      </c>
      <c r="H24" s="102">
        <f t="shared" si="9"/>
        <v>1198.010000000002</v>
      </c>
      <c r="I24" s="208">
        <f t="shared" si="12"/>
        <v>1.0240231358111982</v>
      </c>
      <c r="J24" s="108">
        <f t="shared" si="1"/>
        <v>-165774.98</v>
      </c>
      <c r="K24" s="148">
        <f aca="true" t="shared" si="15" ref="K24:K41">G24/E24</f>
        <v>0.23550336189483587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48563.36</v>
      </c>
      <c r="S24" s="111">
        <f t="shared" si="5"/>
        <v>2503.659999999996</v>
      </c>
      <c r="T24" s="147">
        <f t="shared" si="14"/>
        <v>1.0515545052895845</v>
      </c>
      <c r="U24" s="107">
        <f>F24-лютий!F24</f>
        <v>16176.499999999993</v>
      </c>
      <c r="V24" s="110">
        <f>G24-лютий!G24</f>
        <v>18158.999999999993</v>
      </c>
      <c r="W24" s="111">
        <f t="shared" si="10"/>
        <v>1982.5</v>
      </c>
      <c r="X24" s="148">
        <f t="shared" si="13"/>
        <v>1.1225543226285044</v>
      </c>
      <c r="Y24" s="197">
        <f aca="true" t="shared" si="16" ref="Y24:Y99">T24-Q24</f>
        <v>0.005176460457205767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6357.5</v>
      </c>
      <c r="G25" s="141">
        <v>6941.75</v>
      </c>
      <c r="H25" s="170">
        <f t="shared" si="9"/>
        <v>584.25</v>
      </c>
      <c r="I25" s="211">
        <f t="shared" si="12"/>
        <v>1.0918993314982304</v>
      </c>
      <c r="J25" s="171">
        <f t="shared" si="1"/>
        <v>-21842.25</v>
      </c>
      <c r="K25" s="180">
        <f t="shared" si="15"/>
        <v>0.2411669677598666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5213.94</v>
      </c>
      <c r="S25" s="116">
        <f t="shared" si="5"/>
        <v>1727.8100000000004</v>
      </c>
      <c r="T25" s="152">
        <f t="shared" si="14"/>
        <v>1.3313827930509365</v>
      </c>
      <c r="U25" s="136">
        <f>F25-лютий!F25</f>
        <v>936.5</v>
      </c>
      <c r="V25" s="124">
        <f>G25-лютий!G25</f>
        <v>1389.2299999999996</v>
      </c>
      <c r="W25" s="116">
        <f t="shared" si="10"/>
        <v>452.72999999999956</v>
      </c>
      <c r="X25" s="180">
        <f t="shared" si="13"/>
        <v>1.4834276561665771</v>
      </c>
      <c r="Y25" s="197">
        <f t="shared" si="16"/>
        <v>0.1987858470963979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211.61</v>
      </c>
      <c r="G26" s="139">
        <f>G28+G29</f>
        <v>511.56</v>
      </c>
      <c r="H26" s="158">
        <f t="shared" si="9"/>
        <v>299.95</v>
      </c>
      <c r="I26" s="212">
        <f t="shared" si="12"/>
        <v>2.4174660932848164</v>
      </c>
      <c r="J26" s="176">
        <f t="shared" si="1"/>
        <v>-1010.44</v>
      </c>
      <c r="K26" s="191">
        <f t="shared" si="15"/>
        <v>0.33611038107752955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157.08</v>
      </c>
      <c r="S26" s="201">
        <f t="shared" si="5"/>
        <v>354.48</v>
      </c>
      <c r="T26" s="162">
        <f t="shared" si="14"/>
        <v>3.2566844919786093</v>
      </c>
      <c r="U26" s="167">
        <f>F26-лютий!F26</f>
        <v>16.5</v>
      </c>
      <c r="V26" s="167">
        <f>G26-лютий!G26</f>
        <v>198.20999999999998</v>
      </c>
      <c r="W26" s="176">
        <f t="shared" si="10"/>
        <v>181.70999999999998</v>
      </c>
      <c r="X26" s="191">
        <f t="shared" si="13"/>
        <v>12.012727272727272</v>
      </c>
      <c r="Y26" s="197">
        <f t="shared" si="16"/>
        <v>2.250662904156626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6430.19</v>
      </c>
      <c r="H27" s="158">
        <f t="shared" si="9"/>
        <v>284.2999999999993</v>
      </c>
      <c r="I27" s="212">
        <f t="shared" si="12"/>
        <v>1.0462585565312752</v>
      </c>
      <c r="J27" s="176">
        <f t="shared" si="1"/>
        <v>-20831.81</v>
      </c>
      <c r="K27" s="191">
        <f t="shared" si="15"/>
        <v>0.2358664074535984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5056.87</v>
      </c>
      <c r="S27" s="201">
        <f t="shared" si="5"/>
        <v>1373.3199999999997</v>
      </c>
      <c r="T27" s="162">
        <f t="shared" si="14"/>
        <v>1.2715751047584771</v>
      </c>
      <c r="U27" s="167">
        <f>F27-лютий!F27</f>
        <v>920</v>
      </c>
      <c r="V27" s="167">
        <f>G27-лютий!G27</f>
        <v>1191.0200000000004</v>
      </c>
      <c r="W27" s="176">
        <f t="shared" si="10"/>
        <v>271.02000000000044</v>
      </c>
      <c r="X27" s="191">
        <f t="shared" si="13"/>
        <v>1.2945869565217396</v>
      </c>
      <c r="Y27" s="197">
        <f t="shared" si="16"/>
        <v>0.13096673566694728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67.8</v>
      </c>
      <c r="G28" s="206">
        <v>81.57</v>
      </c>
      <c r="H28" s="218">
        <f t="shared" si="9"/>
        <v>13.769999999999996</v>
      </c>
      <c r="I28" s="220">
        <f t="shared" si="12"/>
        <v>1.2030973451327434</v>
      </c>
      <c r="J28" s="221">
        <f t="shared" si="1"/>
        <v>-234.43</v>
      </c>
      <c r="K28" s="222">
        <f t="shared" si="15"/>
        <v>0.258132911392405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132.33</v>
      </c>
      <c r="S28" s="221">
        <f t="shared" si="5"/>
        <v>-50.76000000000002</v>
      </c>
      <c r="T28" s="222">
        <f t="shared" si="14"/>
        <v>0.616413511675357</v>
      </c>
      <c r="U28" s="206">
        <f>F28-лютий!F28</f>
        <v>8.5</v>
      </c>
      <c r="V28" s="206">
        <f>G28-лютий!G28</f>
        <v>7.409999999999997</v>
      </c>
      <c r="W28" s="221">
        <f t="shared" si="10"/>
        <v>-1.0900000000000034</v>
      </c>
      <c r="X28" s="222">
        <f t="shared" si="13"/>
        <v>0.8717647058823526</v>
      </c>
      <c r="Y28" s="276">
        <f t="shared" si="16"/>
        <v>-0.5288874922752066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143.81</v>
      </c>
      <c r="G29" s="206">
        <v>429.99</v>
      </c>
      <c r="H29" s="218">
        <f t="shared" si="9"/>
        <v>286.18</v>
      </c>
      <c r="I29" s="220">
        <f t="shared" si="12"/>
        <v>2.9899867881232183</v>
      </c>
      <c r="J29" s="221">
        <f t="shared" si="1"/>
        <v>-776.01</v>
      </c>
      <c r="K29" s="222">
        <f t="shared" si="15"/>
        <v>0.3565422885572139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24.75</v>
      </c>
      <c r="S29" s="221">
        <f t="shared" si="5"/>
        <v>405.24</v>
      </c>
      <c r="T29" s="222">
        <f t="shared" si="14"/>
        <v>17.373333333333335</v>
      </c>
      <c r="U29" s="206">
        <f>F29-лютий!F29</f>
        <v>8</v>
      </c>
      <c r="V29" s="206">
        <f>G29-лютий!G29</f>
        <v>190.8</v>
      </c>
      <c r="W29" s="221">
        <f t="shared" si="10"/>
        <v>182.8</v>
      </c>
      <c r="X29" s="222">
        <f t="shared" si="13"/>
        <v>23.85</v>
      </c>
      <c r="Y29" s="276">
        <f t="shared" si="16"/>
        <v>16.39837820067153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320.09</v>
      </c>
      <c r="G30" s="206">
        <v>552.95</v>
      </c>
      <c r="H30" s="218">
        <f t="shared" si="9"/>
        <v>232.86000000000007</v>
      </c>
      <c r="I30" s="220">
        <f t="shared" si="12"/>
        <v>1.727482895435659</v>
      </c>
      <c r="J30" s="221">
        <f t="shared" si="1"/>
        <v>-1802.05</v>
      </c>
      <c r="K30" s="222">
        <f t="shared" si="15"/>
        <v>0.2347983014861996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65.29</v>
      </c>
      <c r="S30" s="221">
        <f t="shared" si="5"/>
        <v>487.66</v>
      </c>
      <c r="T30" s="222">
        <f t="shared" si="14"/>
        <v>8.469137693368051</v>
      </c>
      <c r="U30" s="206">
        <f>F30-лютий!F30</f>
        <v>20</v>
      </c>
      <c r="V30" s="206">
        <f>G30-лютий!G30</f>
        <v>87.01000000000005</v>
      </c>
      <c r="W30" s="221">
        <f t="shared" si="10"/>
        <v>67.01000000000005</v>
      </c>
      <c r="X30" s="222">
        <f t="shared" si="13"/>
        <v>4.350500000000002</v>
      </c>
      <c r="Y30" s="276">
        <f t="shared" si="16"/>
        <v>7.408446329782869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5825.8</v>
      </c>
      <c r="G31" s="206">
        <v>5877.24</v>
      </c>
      <c r="H31" s="218">
        <f t="shared" si="9"/>
        <v>51.4399999999996</v>
      </c>
      <c r="I31" s="220">
        <f t="shared" si="12"/>
        <v>1.0088296886264547</v>
      </c>
      <c r="J31" s="221">
        <f t="shared" si="1"/>
        <v>-19029.760000000002</v>
      </c>
      <c r="K31" s="222">
        <f t="shared" si="15"/>
        <v>0.23596739872325048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4991.58</v>
      </c>
      <c r="S31" s="221">
        <f t="shared" si="5"/>
        <v>885.6599999999999</v>
      </c>
      <c r="T31" s="222">
        <f t="shared" si="14"/>
        <v>1.1774307934561803</v>
      </c>
      <c r="U31" s="206">
        <f>F31-лютий!F31</f>
        <v>900</v>
      </c>
      <c r="V31" s="206">
        <f>G31-лютий!G31</f>
        <v>1104.0100000000002</v>
      </c>
      <c r="W31" s="221"/>
      <c r="X31" s="222">
        <f t="shared" si="13"/>
        <v>1.226677777777778</v>
      </c>
      <c r="Y31" s="276">
        <f t="shared" si="16"/>
        <v>0.0286385082188092</v>
      </c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160.03</v>
      </c>
      <c r="G32" s="120">
        <v>345.07</v>
      </c>
      <c r="H32" s="170">
        <f t="shared" si="9"/>
        <v>185.04</v>
      </c>
      <c r="I32" s="211">
        <f t="shared" si="12"/>
        <v>2.156283196900581</v>
      </c>
      <c r="J32" s="171">
        <f t="shared" si="1"/>
        <v>63.06999999999999</v>
      </c>
      <c r="K32" s="180">
        <f t="shared" si="15"/>
        <v>1.2236524822695036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31.25</v>
      </c>
      <c r="S32" s="121">
        <f t="shared" si="5"/>
        <v>313.82</v>
      </c>
      <c r="T32" s="150">
        <f t="shared" si="14"/>
        <v>11.04224</v>
      </c>
      <c r="U32" s="136">
        <f>F32-лютий!F32</f>
        <v>1</v>
      </c>
      <c r="V32" s="124">
        <f>G32-лютий!G32</f>
        <v>79.25</v>
      </c>
      <c r="W32" s="116">
        <f t="shared" si="10"/>
        <v>78.25</v>
      </c>
      <c r="X32" s="180">
        <f t="shared" si="13"/>
        <v>79.25</v>
      </c>
      <c r="Y32" s="198">
        <f t="shared" si="16"/>
        <v>10.60520686606949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-50</v>
      </c>
      <c r="S33" s="72">
        <f t="shared" si="5"/>
        <v>171.34</v>
      </c>
      <c r="T33" s="75">
        <f t="shared" si="14"/>
        <v>-2.4268</v>
      </c>
      <c r="U33" s="73">
        <f>F33-лютий!F33</f>
        <v>0</v>
      </c>
      <c r="V33" s="98">
        <f>G33-лютий!G33</f>
        <v>60.5</v>
      </c>
      <c r="W33" s="74">
        <f t="shared" si="10"/>
        <v>60.5</v>
      </c>
      <c r="X33" s="75" t="e">
        <f t="shared" si="13"/>
        <v>#DIV/0!</v>
      </c>
      <c r="Y33" s="276">
        <f t="shared" si="16"/>
        <v>-2.841118859794498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132.18</v>
      </c>
      <c r="G34" s="94">
        <v>223.73</v>
      </c>
      <c r="H34" s="71">
        <f t="shared" si="9"/>
        <v>91.54999999999998</v>
      </c>
      <c r="I34" s="209">
        <f t="shared" si="12"/>
        <v>1.6926161295203508</v>
      </c>
      <c r="J34" s="72">
        <f t="shared" si="1"/>
        <v>41.72999999999999</v>
      </c>
      <c r="K34" s="75">
        <f t="shared" si="15"/>
        <v>1.2292857142857143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81.25</v>
      </c>
      <c r="S34" s="72">
        <f t="shared" si="5"/>
        <v>142.48</v>
      </c>
      <c r="T34" s="75">
        <f t="shared" si="14"/>
        <v>2.7536</v>
      </c>
      <c r="U34" s="73">
        <f>F34-лютий!F34</f>
        <v>1</v>
      </c>
      <c r="V34" s="98">
        <f>G34-лютий!G34</f>
        <v>18.75</v>
      </c>
      <c r="W34" s="74"/>
      <c r="X34" s="75">
        <f t="shared" si="13"/>
        <v>18.75</v>
      </c>
      <c r="Y34" s="276">
        <f t="shared" si="16"/>
        <v>2.3030045703250726</v>
      </c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43351.479999999996</v>
      </c>
      <c r="G35" s="120">
        <v>43780.2</v>
      </c>
      <c r="H35" s="102">
        <f t="shared" si="9"/>
        <v>428.72000000000116</v>
      </c>
      <c r="I35" s="211">
        <f t="shared" si="12"/>
        <v>1.0098893970863279</v>
      </c>
      <c r="J35" s="171">
        <f t="shared" si="1"/>
        <v>-143995.8</v>
      </c>
      <c r="K35" s="180">
        <f t="shared" si="15"/>
        <v>0.23315120143149282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43318.17</v>
      </c>
      <c r="S35" s="122">
        <f t="shared" si="5"/>
        <v>462.02999999999884</v>
      </c>
      <c r="T35" s="149">
        <f t="shared" si="14"/>
        <v>1.0106659630358346</v>
      </c>
      <c r="U35" s="136">
        <f>F35-лютий!F35</f>
        <v>15238.999999999996</v>
      </c>
      <c r="V35" s="124">
        <f>G35-лютий!G35</f>
        <v>16690.519999999997</v>
      </c>
      <c r="W35" s="116">
        <f t="shared" si="10"/>
        <v>1451.5200000000004</v>
      </c>
      <c r="X35" s="180">
        <f t="shared" si="13"/>
        <v>1.0952503445107946</v>
      </c>
      <c r="Y35" s="198">
        <f t="shared" si="16"/>
        <v>-0.025787816891384763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7" ref="E36:G37">E38+E40</f>
        <v>60690</v>
      </c>
      <c r="F36" s="139">
        <f t="shared" si="17"/>
        <v>14365.23</v>
      </c>
      <c r="G36" s="139">
        <v>4326.71</v>
      </c>
      <c r="H36" s="158">
        <f t="shared" si="9"/>
        <v>-10038.52</v>
      </c>
      <c r="I36" s="212">
        <f t="shared" si="12"/>
        <v>0.30119322837156104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14435.439999999999</v>
      </c>
      <c r="S36" s="140">
        <f t="shared" si="5"/>
        <v>-10108.73</v>
      </c>
      <c r="T36" s="162">
        <f t="shared" si="14"/>
        <v>0.2997283075541861</v>
      </c>
      <c r="U36" s="167">
        <f>F36-лютий!F36</f>
        <v>5139</v>
      </c>
      <c r="V36" s="167">
        <f>G36-лютий!G36</f>
        <v>0</v>
      </c>
      <c r="W36" s="176">
        <f t="shared" si="10"/>
        <v>-5139</v>
      </c>
      <c r="X36" s="191">
        <f aca="true" t="shared" si="18" ref="X36:X41">V36/U36*100</f>
        <v>0</v>
      </c>
      <c r="Y36" s="197">
        <f t="shared" si="16"/>
        <v>-0.7357838384282862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7"/>
        <v>127086</v>
      </c>
      <c r="F37" s="139">
        <f t="shared" si="17"/>
        <v>28986.25</v>
      </c>
      <c r="G37" s="139">
        <f t="shared" si="17"/>
        <v>30130.51</v>
      </c>
      <c r="H37" s="158">
        <f t="shared" si="9"/>
        <v>1144.2599999999984</v>
      </c>
      <c r="I37" s="212">
        <f t="shared" si="12"/>
        <v>1.039475958428565</v>
      </c>
      <c r="J37" s="176">
        <f t="shared" si="1"/>
        <v>-96955.49</v>
      </c>
      <c r="K37" s="191">
        <f t="shared" si="15"/>
        <v>0.23708756275278156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28882.730000000003</v>
      </c>
      <c r="S37" s="140">
        <f t="shared" si="5"/>
        <v>1247.7799999999952</v>
      </c>
      <c r="T37" s="162">
        <f t="shared" si="14"/>
        <v>1.0432015948630893</v>
      </c>
      <c r="U37" s="167">
        <f>F37-січень!F37</f>
        <v>19700</v>
      </c>
      <c r="V37" s="167">
        <f>G37-лютий!G37</f>
        <v>11160.849999999999</v>
      </c>
      <c r="W37" s="176">
        <f t="shared" si="10"/>
        <v>-8539.150000000001</v>
      </c>
      <c r="X37" s="191">
        <f>V37/U37</f>
        <v>0.5665406091370557</v>
      </c>
      <c r="Y37" s="197">
        <f t="shared" si="16"/>
        <v>0.006297532598912081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13784.4</v>
      </c>
      <c r="G38" s="206">
        <v>13383.57</v>
      </c>
      <c r="H38" s="218">
        <f t="shared" si="9"/>
        <v>-400.8299999999999</v>
      </c>
      <c r="I38" s="220">
        <f t="shared" si="12"/>
        <v>0.970921476451641</v>
      </c>
      <c r="J38" s="221">
        <f t="shared" si="1"/>
        <v>-43906.43</v>
      </c>
      <c r="K38" s="222">
        <f t="shared" si="15"/>
        <v>0.23361092686332693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14138.14</v>
      </c>
      <c r="S38" s="221">
        <f t="shared" si="5"/>
        <v>-754.5699999999997</v>
      </c>
      <c r="T38" s="222">
        <f t="shared" si="14"/>
        <v>0.9466287644626521</v>
      </c>
      <c r="U38" s="206">
        <f>F38-лютий!F38</f>
        <v>4900</v>
      </c>
      <c r="V38" s="206">
        <f>G38-лютий!G38</f>
        <v>5428.759999999999</v>
      </c>
      <c r="W38" s="221">
        <f t="shared" si="10"/>
        <v>528.7599999999993</v>
      </c>
      <c r="X38" s="222">
        <f t="shared" si="18"/>
        <v>110.79102040816325</v>
      </c>
      <c r="Y38" s="276">
        <f t="shared" si="16"/>
        <v>-0.09036488433589063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24393.45</v>
      </c>
      <c r="G39" s="206">
        <v>25204.71</v>
      </c>
      <c r="H39" s="218">
        <f t="shared" si="9"/>
        <v>811.2599999999984</v>
      </c>
      <c r="I39" s="220">
        <f t="shared" si="12"/>
        <v>1.033257288329449</v>
      </c>
      <c r="J39" s="221">
        <f t="shared" si="1"/>
        <v>-80781.29000000001</v>
      </c>
      <c r="K39" s="222">
        <f t="shared" si="15"/>
        <v>0.2378116921102787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24172.4</v>
      </c>
      <c r="S39" s="221">
        <f t="shared" si="5"/>
        <v>1032.3099999999977</v>
      </c>
      <c r="T39" s="222">
        <f t="shared" si="14"/>
        <v>1.0427061441975145</v>
      </c>
      <c r="U39" s="206">
        <f>F39-лютий!F39</f>
        <v>8600</v>
      </c>
      <c r="V39" s="206">
        <f>G39-лютий!G39</f>
        <v>9345.289999999999</v>
      </c>
      <c r="W39" s="221">
        <f t="shared" si="10"/>
        <v>745.289999999999</v>
      </c>
      <c r="X39" s="222">
        <f t="shared" si="18"/>
        <v>108.66616279069767</v>
      </c>
      <c r="Y39" s="276">
        <f t="shared" si="16"/>
        <v>0.005624095768191895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580.83</v>
      </c>
      <c r="G40" s="206">
        <v>266.12</v>
      </c>
      <c r="H40" s="218">
        <f t="shared" si="9"/>
        <v>-314.71000000000004</v>
      </c>
      <c r="I40" s="220">
        <f t="shared" si="12"/>
        <v>0.45817192638121307</v>
      </c>
      <c r="J40" s="221">
        <f t="shared" si="1"/>
        <v>-3133.88</v>
      </c>
      <c r="K40" s="222">
        <f t="shared" si="15"/>
        <v>0.07827058823529412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297.3</v>
      </c>
      <c r="S40" s="221">
        <f t="shared" si="5"/>
        <v>-31.180000000000007</v>
      </c>
      <c r="T40" s="222">
        <f t="shared" si="14"/>
        <v>0.8951227716111672</v>
      </c>
      <c r="U40" s="206">
        <f>F40-лютий!F40</f>
        <v>239.00000000000006</v>
      </c>
      <c r="V40" s="206">
        <f>G40-лютий!G40</f>
        <v>100.91</v>
      </c>
      <c r="W40" s="221">
        <f t="shared" si="10"/>
        <v>-138.09000000000006</v>
      </c>
      <c r="X40" s="222">
        <f t="shared" si="18"/>
        <v>42.22175732217572</v>
      </c>
      <c r="Y40" s="276">
        <f t="shared" si="16"/>
        <v>-0.11604768793606635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4592.8</v>
      </c>
      <c r="G41" s="206">
        <v>4925.8</v>
      </c>
      <c r="H41" s="218">
        <f t="shared" si="9"/>
        <v>333</v>
      </c>
      <c r="I41" s="220">
        <f t="shared" si="12"/>
        <v>1.0725047901062532</v>
      </c>
      <c r="J41" s="221">
        <f t="shared" si="1"/>
        <v>-16174.2</v>
      </c>
      <c r="K41" s="222">
        <f t="shared" si="15"/>
        <v>0.23345023696682465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4710.33</v>
      </c>
      <c r="S41" s="221">
        <f t="shared" si="5"/>
        <v>215.47000000000025</v>
      </c>
      <c r="T41" s="222">
        <f t="shared" si="14"/>
        <v>1.0457441410686725</v>
      </c>
      <c r="U41" s="206">
        <f>F41-лютий!F41</f>
        <v>1500</v>
      </c>
      <c r="V41" s="206">
        <f>G41-лютий!G41</f>
        <v>1815.5600000000004</v>
      </c>
      <c r="W41" s="221">
        <f t="shared" si="10"/>
        <v>315.5600000000004</v>
      </c>
      <c r="X41" s="222">
        <f t="shared" si="18"/>
        <v>121.03733333333335</v>
      </c>
      <c r="Y41" s="276">
        <f t="shared" si="16"/>
        <v>0.009733185866571903</v>
      </c>
    </row>
    <row r="42" spans="1:25" s="6" customFormat="1" ht="18" hidden="1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F42-лютий!F42</f>
        <v>0</v>
      </c>
      <c r="V42" s="110">
        <f>G42-лютий!G42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33.43</v>
      </c>
      <c r="G43" s="106">
        <v>47.23</v>
      </c>
      <c r="H43" s="102">
        <f t="shared" si="9"/>
        <v>13.799999999999997</v>
      </c>
      <c r="I43" s="208">
        <f>G43/F43</f>
        <v>1.4128028716721506</v>
      </c>
      <c r="J43" s="108">
        <f t="shared" si="1"/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37.2</v>
      </c>
      <c r="S43" s="108">
        <f t="shared" si="5"/>
        <v>10.029999999999994</v>
      </c>
      <c r="T43" s="148">
        <f aca="true" t="shared" si="19" ref="T43:T51">G43/R43</f>
        <v>1.2696236559139784</v>
      </c>
      <c r="U43" s="107">
        <f>F43-лютий!F43</f>
        <v>1</v>
      </c>
      <c r="V43" s="110">
        <f>G43-лютий!G43</f>
        <v>5.099999999999994</v>
      </c>
      <c r="W43" s="111">
        <f t="shared" si="10"/>
        <v>4.099999999999994</v>
      </c>
      <c r="X43" s="148">
        <f>V43/U43</f>
        <v>5.099999999999994</v>
      </c>
      <c r="Y43" s="277">
        <f t="shared" si="16"/>
        <v>0.1575206078333764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25.9</v>
      </c>
      <c r="G44" s="94">
        <v>38.9</v>
      </c>
      <c r="H44" s="71">
        <f t="shared" si="9"/>
        <v>13</v>
      </c>
      <c r="I44" s="209">
        <f>G44/F44</f>
        <v>1.501930501930502</v>
      </c>
      <c r="J44" s="72">
        <f t="shared" si="1"/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22.86</v>
      </c>
      <c r="S44" s="72">
        <f t="shared" si="5"/>
        <v>16.04</v>
      </c>
      <c r="T44" s="75">
        <f t="shared" si="19"/>
        <v>1.7016622922134732</v>
      </c>
      <c r="U44" s="73">
        <f>F44-лютий!F44</f>
        <v>1</v>
      </c>
      <c r="V44" s="98">
        <f>G44-лютий!G44</f>
        <v>5.100000000000001</v>
      </c>
      <c r="W44" s="74">
        <f t="shared" si="10"/>
        <v>4.100000000000001</v>
      </c>
      <c r="X44" s="75">
        <f>V44/U44</f>
        <v>5.100000000000001</v>
      </c>
      <c r="Y44" s="276">
        <f t="shared" si="16"/>
        <v>0.6411199335840849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19"/>
        <v>0.5808926080892608</v>
      </c>
      <c r="U45" s="73">
        <f>F45-лютий!F45</f>
        <v>0</v>
      </c>
      <c r="V45" s="98">
        <f>G45-лютий!G45</f>
        <v>0</v>
      </c>
      <c r="W45" s="74">
        <f t="shared" si="10"/>
        <v>0</v>
      </c>
      <c r="X45" s="75" t="e">
        <f>V45/U45</f>
        <v>#DIV/0!</v>
      </c>
      <c r="Y45" s="276">
        <f t="shared" si="16"/>
        <v>-0.6107416331558754</v>
      </c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-1.76</v>
      </c>
      <c r="H46" s="102">
        <f t="shared" si="9"/>
        <v>-1.76</v>
      </c>
      <c r="I46" s="208"/>
      <c r="J46" s="108">
        <f t="shared" si="1"/>
        <v>-1.76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-24.87</v>
      </c>
      <c r="S46" s="108">
        <f t="shared" si="5"/>
        <v>23.11</v>
      </c>
      <c r="T46" s="148">
        <f t="shared" si="19"/>
        <v>0.07076799356654603</v>
      </c>
      <c r="U46" s="107">
        <f>F46-лютий!F46</f>
        <v>0</v>
      </c>
      <c r="V46" s="110">
        <f>G46-лютий!G46</f>
        <v>0.5799999999999998</v>
      </c>
      <c r="W46" s="111">
        <f t="shared" si="10"/>
        <v>0.5799999999999998</v>
      </c>
      <c r="X46" s="148"/>
      <c r="Y46" s="197">
        <f t="shared" si="16"/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69072.65</v>
      </c>
      <c r="H47" s="102">
        <f t="shared" si="9"/>
        <v>423.4899999999907</v>
      </c>
      <c r="I47" s="208">
        <f>G47/F47</f>
        <v>1.0061689028678573</v>
      </c>
      <c r="J47" s="108">
        <f t="shared" si="1"/>
        <v>-185478.15</v>
      </c>
      <c r="K47" s="148">
        <f>G47/E47</f>
        <v>0.2713511409117551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55396.62</v>
      </c>
      <c r="S47" s="123">
        <f t="shared" si="5"/>
        <v>13676.029999999992</v>
      </c>
      <c r="T47" s="160">
        <f t="shared" si="19"/>
        <v>1.246874809329522</v>
      </c>
      <c r="U47" s="107">
        <f>F47-лютий!F47</f>
        <v>8801</v>
      </c>
      <c r="V47" s="110">
        <f>G47-лютий!G47</f>
        <v>9049.749999999993</v>
      </c>
      <c r="W47" s="111">
        <f t="shared" si="10"/>
        <v>248.74999999999272</v>
      </c>
      <c r="X47" s="148">
        <f>V47/U47</f>
        <v>1.0282638336552656</v>
      </c>
      <c r="Y47" s="197">
        <f t="shared" si="16"/>
        <v>0.10727317484461807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19"/>
        <v>1</v>
      </c>
      <c r="U48" s="73">
        <f>F48-лютий!F48</f>
        <v>0</v>
      </c>
      <c r="V48" s="98">
        <f>G48-лютий!G48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14983.87</v>
      </c>
      <c r="G49" s="94">
        <v>14506.24</v>
      </c>
      <c r="H49" s="71">
        <f>G49-F49</f>
        <v>-477.630000000001</v>
      </c>
      <c r="I49" s="209">
        <f>G49/F49</f>
        <v>0.9681237223761284</v>
      </c>
      <c r="J49" s="72">
        <f t="shared" si="1"/>
        <v>-41208.76</v>
      </c>
      <c r="K49" s="75">
        <f>G49/E49</f>
        <v>0.26036507224266353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10947.92</v>
      </c>
      <c r="S49" s="85">
        <f t="shared" si="5"/>
        <v>3558.3199999999997</v>
      </c>
      <c r="T49" s="153">
        <f t="shared" si="19"/>
        <v>1.3250224700217028</v>
      </c>
      <c r="U49" s="73">
        <f>F49-лютий!F49</f>
        <v>1400</v>
      </c>
      <c r="V49" s="98">
        <f>G49-лютий!G49</f>
        <v>912.6100000000006</v>
      </c>
      <c r="W49" s="74">
        <f t="shared" si="10"/>
        <v>-487.3899999999994</v>
      </c>
      <c r="X49" s="75">
        <f>V49/U49</f>
        <v>0.6518642857142861</v>
      </c>
      <c r="Y49" s="197">
        <f t="shared" si="16"/>
        <v>0.08774555849938248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53640.49</v>
      </c>
      <c r="G50" s="94">
        <v>54544.1</v>
      </c>
      <c r="H50" s="71">
        <f>G50-F50</f>
        <v>903.6100000000006</v>
      </c>
      <c r="I50" s="209">
        <f>G50/F50</f>
        <v>1.0168456701271744</v>
      </c>
      <c r="J50" s="72">
        <f t="shared" si="1"/>
        <v>-144210.9</v>
      </c>
      <c r="K50" s="75">
        <f>G50/E50</f>
        <v>0.2744288194007698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44432.58</v>
      </c>
      <c r="S50" s="85">
        <f t="shared" si="5"/>
        <v>10111.519999999997</v>
      </c>
      <c r="T50" s="153">
        <f t="shared" si="19"/>
        <v>1.2275699497980985</v>
      </c>
      <c r="U50" s="73">
        <f>F50-лютий!F50</f>
        <v>7400</v>
      </c>
      <c r="V50" s="98">
        <f>G50-лютий!G50</f>
        <v>8136.659999999996</v>
      </c>
      <c r="W50" s="74">
        <f t="shared" si="10"/>
        <v>736.6599999999962</v>
      </c>
      <c r="X50" s="75">
        <f>V50/U50</f>
        <v>1.099548648648648</v>
      </c>
      <c r="Y50" s="197">
        <f t="shared" si="16"/>
        <v>0.11266148274268861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24.8</v>
      </c>
      <c r="G51" s="94">
        <v>22.31</v>
      </c>
      <c r="H51" s="71">
        <f>G51-F51</f>
        <v>-2.490000000000002</v>
      </c>
      <c r="I51" s="209">
        <f>G51/F51</f>
        <v>0.8995967741935483</v>
      </c>
      <c r="J51" s="72">
        <f t="shared" si="1"/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6.199999999999999</v>
      </c>
      <c r="T51" s="153">
        <f t="shared" si="19"/>
        <v>1.3848541278708877</v>
      </c>
      <c r="U51" s="73">
        <f>F51-лютий!F51</f>
        <v>1</v>
      </c>
      <c r="V51" s="98">
        <f>G51-лютий!G51</f>
        <v>0.46999999999999886</v>
      </c>
      <c r="W51" s="74">
        <f t="shared" si="10"/>
        <v>-0.5300000000000011</v>
      </c>
      <c r="X51" s="75"/>
      <c r="Y51" s="197">
        <f t="shared" si="16"/>
        <v>0.19011806399390996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73">
        <f>F52-лютий!F52</f>
        <v>0</v>
      </c>
      <c r="V52" s="98">
        <f>G52-лютий!G52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11497.49</v>
      </c>
      <c r="H53" s="103">
        <f>H54+H55+H56+H57+H58+H60+H62+H63+H64+H65+H66+H71+H72+H76+H59+H61</f>
        <v>854.4419999999994</v>
      </c>
      <c r="I53" s="143">
        <f aca="true" t="shared" si="20" ref="I53:I72">G53/F53</f>
        <v>1.0802817012570085</v>
      </c>
      <c r="J53" s="104">
        <f>G53-E53</f>
        <v>-35751.41</v>
      </c>
      <c r="K53" s="156">
        <f aca="true" t="shared" si="21" ref="K53:K72">G53/E53</f>
        <v>0.24333878672307713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 t="shared" si="5"/>
        <v>-2376.74</v>
      </c>
      <c r="T53" s="143">
        <f>G53/R53</f>
        <v>0.8286939167074497</v>
      </c>
      <c r="U53" s="103">
        <f>U54+U55+U56+U57+U58+U60+U62+U63+U64+U65+U66+U71+U72+U76+U59+U61</f>
        <v>3607.5</v>
      </c>
      <c r="V53" s="103">
        <f>V54+V55+V56+V57+V58+V60+V62+V63+V64+V65+V66+V71+V72+V76+V59+V61</f>
        <v>4551.8099999999995</v>
      </c>
      <c r="W53" s="103">
        <f>W54+W55+W56+W57+W58+W60+W62+W63+W64+W65+W66+W71+W72+W76</f>
        <v>934.1099999999994</v>
      </c>
      <c r="X53" s="143">
        <f>V53/U53</f>
        <v>1.2617629937629937</v>
      </c>
      <c r="Y53" s="197">
        <f t="shared" si="16"/>
        <v>0.14768739301752776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 t="shared" si="5"/>
        <v>245.73</v>
      </c>
      <c r="T54" s="155">
        <f>G54/R54</f>
        <v>-0.3153302644256504</v>
      </c>
      <c r="U54" s="107">
        <f>F54-лютий!F54</f>
        <v>0</v>
      </c>
      <c r="V54" s="110">
        <f>G54-лютий!G54</f>
        <v>3.4199999999999946</v>
      </c>
      <c r="W54" s="111">
        <f aca="true" t="shared" si="23" ref="W54:W78">V54-U54</f>
        <v>3.4199999999999946</v>
      </c>
      <c r="X54" s="155" t="e">
        <f>V54/U54</f>
        <v>#DIV/0!</v>
      </c>
      <c r="Y54" s="197">
        <f t="shared" si="16"/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580.078</v>
      </c>
      <c r="G55" s="106">
        <v>1099.77</v>
      </c>
      <c r="H55" s="102">
        <f t="shared" si="22"/>
        <v>519.692</v>
      </c>
      <c r="I55" s="213">
        <f t="shared" si="20"/>
        <v>1.8959002065239503</v>
      </c>
      <c r="J55" s="115">
        <f aca="true" t="shared" si="24" ref="J55:J78">G55-E55</f>
        <v>-3900.23</v>
      </c>
      <c r="K55" s="155">
        <f t="shared" si="21"/>
        <v>0.21995399999999998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4701.84</v>
      </c>
      <c r="S55" s="115">
        <f t="shared" si="5"/>
        <v>-3602.07</v>
      </c>
      <c r="T55" s="155">
        <f aca="true" t="shared" si="27" ref="T55:T78">G55/R55</f>
        <v>0.23390204685825122</v>
      </c>
      <c r="U55" s="107">
        <f>F55-лютий!F55</f>
        <v>300</v>
      </c>
      <c r="V55" s="110">
        <f>G55-лютий!G55</f>
        <v>819.69</v>
      </c>
      <c r="W55" s="111">
        <f t="shared" si="23"/>
        <v>519.69</v>
      </c>
      <c r="X55" s="155">
        <f aca="true" t="shared" si="28" ref="X55:X77">V55/U55</f>
        <v>2.7323000000000004</v>
      </c>
      <c r="Y55" s="197">
        <f t="shared" si="16"/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28</v>
      </c>
      <c r="G56" s="106">
        <v>51.82</v>
      </c>
      <c r="H56" s="102">
        <f t="shared" si="22"/>
        <v>23.82</v>
      </c>
      <c r="I56" s="213">
        <f t="shared" si="20"/>
        <v>1.8507142857142858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72.08</v>
      </c>
      <c r="S56" s="115">
        <f t="shared" si="5"/>
        <v>-20.259999999999998</v>
      </c>
      <c r="T56" s="155">
        <f t="shared" si="27"/>
        <v>0.7189234184239733</v>
      </c>
      <c r="U56" s="107">
        <f>F56-лютий!F56</f>
        <v>14</v>
      </c>
      <c r="V56" s="110">
        <f>G56-лютий!G56</f>
        <v>38.59</v>
      </c>
      <c r="W56" s="111">
        <f t="shared" si="23"/>
        <v>24.590000000000003</v>
      </c>
      <c r="X56" s="155">
        <f t="shared" si="28"/>
        <v>2.7564285714285717</v>
      </c>
      <c r="Y56" s="197">
        <f t="shared" si="16"/>
        <v>-0.31173542045404357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4</v>
      </c>
      <c r="G57" s="106">
        <v>2.02</v>
      </c>
      <c r="H57" s="102">
        <f t="shared" si="22"/>
        <v>-1.98</v>
      </c>
      <c r="I57" s="213">
        <f t="shared" si="20"/>
        <v>0.505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148.43</v>
      </c>
      <c r="G58" s="106">
        <v>224.59</v>
      </c>
      <c r="H58" s="102">
        <f t="shared" si="22"/>
        <v>76.16</v>
      </c>
      <c r="I58" s="213">
        <f t="shared" si="20"/>
        <v>1.5131038199824833</v>
      </c>
      <c r="J58" s="115">
        <f t="shared" si="24"/>
        <v>-519.41</v>
      </c>
      <c r="K58" s="155">
        <f t="shared" si="21"/>
        <v>0.3018682795698925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277.76</v>
      </c>
      <c r="S58" s="115">
        <f t="shared" si="5"/>
        <v>-53.16999999999999</v>
      </c>
      <c r="T58" s="155">
        <f t="shared" si="27"/>
        <v>0.8085757488479263</v>
      </c>
      <c r="U58" s="107">
        <f>F58-лютий!F58</f>
        <v>60</v>
      </c>
      <c r="V58" s="110">
        <f>G58-лютий!G58</f>
        <v>172.41</v>
      </c>
      <c r="W58" s="111">
        <f t="shared" si="23"/>
        <v>112.41</v>
      </c>
      <c r="X58" s="155">
        <f t="shared" si="28"/>
        <v>2.8735</v>
      </c>
      <c r="Y58" s="197">
        <f t="shared" si="16"/>
        <v>-0.24627956300076448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20</v>
      </c>
      <c r="G59" s="106">
        <v>8.62</v>
      </c>
      <c r="H59" s="102">
        <f t="shared" si="22"/>
        <v>-11.38</v>
      </c>
      <c r="I59" s="213">
        <f t="shared" si="20"/>
        <v>0.43099999999999994</v>
      </c>
      <c r="J59" s="115">
        <f t="shared" si="24"/>
        <v>-106.88</v>
      </c>
      <c r="K59" s="155">
        <f t="shared" si="21"/>
        <v>0.07463203463203462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0.51</v>
      </c>
      <c r="S59" s="115">
        <f t="shared" si="5"/>
        <v>8.11</v>
      </c>
      <c r="T59" s="155">
        <f t="shared" si="27"/>
        <v>16.901960784313722</v>
      </c>
      <c r="U59" s="107">
        <f>F59-лютий!F59</f>
        <v>10</v>
      </c>
      <c r="V59" s="110">
        <f>G59-лютий!G59</f>
        <v>20.2</v>
      </c>
      <c r="W59" s="111">
        <f t="shared" si="23"/>
        <v>10.2</v>
      </c>
      <c r="X59" s="155">
        <f t="shared" si="28"/>
        <v>2.02</v>
      </c>
      <c r="Y59" s="197">
        <f t="shared" si="16"/>
        <v>15.891462096649681</v>
      </c>
    </row>
    <row r="60" spans="1:25" s="6" customFormat="1" ht="30.75">
      <c r="A60" s="8"/>
      <c r="B60" s="274" t="s">
        <v>89</v>
      </c>
      <c r="C60" s="40">
        <v>22010300</v>
      </c>
      <c r="D60" s="249">
        <v>1284</v>
      </c>
      <c r="E60" s="102">
        <v>1284</v>
      </c>
      <c r="F60" s="102">
        <v>284</v>
      </c>
      <c r="G60" s="106">
        <v>280.33</v>
      </c>
      <c r="H60" s="102">
        <f t="shared" si="22"/>
        <v>-3.670000000000016</v>
      </c>
      <c r="I60" s="213">
        <f t="shared" si="20"/>
        <v>0.9870774647887324</v>
      </c>
      <c r="J60" s="115">
        <f t="shared" si="24"/>
        <v>-1003.6700000000001</v>
      </c>
      <c r="K60" s="155">
        <f t="shared" si="21"/>
        <v>0.21832554517133956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300.95</v>
      </c>
      <c r="S60" s="115">
        <f t="shared" si="5"/>
        <v>-20.620000000000005</v>
      </c>
      <c r="T60" s="155">
        <f t="shared" si="27"/>
        <v>0.9314836351553414</v>
      </c>
      <c r="U60" s="107">
        <f>F60-лютий!F60</f>
        <v>100</v>
      </c>
      <c r="V60" s="110">
        <f>G60-лютий!G60</f>
        <v>103.13999999999999</v>
      </c>
      <c r="W60" s="111">
        <f t="shared" si="23"/>
        <v>3.1399999999999864</v>
      </c>
      <c r="X60" s="155">
        <f t="shared" si="28"/>
        <v>1.0313999999999999</v>
      </c>
      <c r="Y60" s="197">
        <f t="shared" si="16"/>
        <v>-0.1339527456800801</v>
      </c>
    </row>
    <row r="61" spans="1:25" s="6" customFormat="1" ht="18" hidden="1">
      <c r="A61" s="8"/>
      <c r="B61" s="274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F61-лютий!F61</f>
        <v>0</v>
      </c>
      <c r="V61" s="110">
        <f>G61-лютий!G61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275" t="s">
        <v>65</v>
      </c>
      <c r="C62" s="57">
        <v>22012500</v>
      </c>
      <c r="D62" s="248">
        <v>21260</v>
      </c>
      <c r="E62" s="102">
        <v>21260</v>
      </c>
      <c r="F62" s="102">
        <v>5690</v>
      </c>
      <c r="G62" s="106">
        <v>6201.94</v>
      </c>
      <c r="H62" s="102">
        <f t="shared" si="22"/>
        <v>511.9399999999996</v>
      </c>
      <c r="I62" s="213">
        <f t="shared" si="20"/>
        <v>1.0899718804920913</v>
      </c>
      <c r="J62" s="115">
        <f t="shared" si="24"/>
        <v>-15058.060000000001</v>
      </c>
      <c r="K62" s="155">
        <f t="shared" si="21"/>
        <v>0.2917187206020696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3584.94</v>
      </c>
      <c r="S62" s="115">
        <f t="shared" si="5"/>
        <v>2616.9999999999995</v>
      </c>
      <c r="T62" s="155">
        <f t="shared" si="27"/>
        <v>1.729998270542882</v>
      </c>
      <c r="U62" s="107">
        <f>F62-лютий!F62</f>
        <v>1800</v>
      </c>
      <c r="V62" s="110">
        <f>G62-лютий!G62</f>
        <v>2246.5199999999995</v>
      </c>
      <c r="W62" s="111">
        <f t="shared" si="23"/>
        <v>446.5199999999995</v>
      </c>
      <c r="X62" s="155">
        <f t="shared" si="28"/>
        <v>1.2480666666666664</v>
      </c>
      <c r="Y62" s="197">
        <f t="shared" si="16"/>
        <v>0.6728201504502322</v>
      </c>
    </row>
    <row r="63" spans="1:25" s="6" customFormat="1" ht="31.5">
      <c r="A63" s="8"/>
      <c r="B63" s="275" t="s">
        <v>86</v>
      </c>
      <c r="C63" s="57">
        <v>22012600</v>
      </c>
      <c r="D63" s="248">
        <v>767</v>
      </c>
      <c r="E63" s="102">
        <v>767</v>
      </c>
      <c r="F63" s="102">
        <v>185</v>
      </c>
      <c r="G63" s="106">
        <v>202.16</v>
      </c>
      <c r="H63" s="102">
        <f t="shared" si="22"/>
        <v>17.159999999999997</v>
      </c>
      <c r="I63" s="213">
        <f t="shared" si="20"/>
        <v>1.0927567567567567</v>
      </c>
      <c r="J63" s="115">
        <f t="shared" si="24"/>
        <v>-564.84</v>
      </c>
      <c r="K63" s="155">
        <f t="shared" si="21"/>
        <v>0.26357235984354627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135.2</v>
      </c>
      <c r="S63" s="115">
        <f t="shared" si="5"/>
        <v>66.96000000000001</v>
      </c>
      <c r="T63" s="155">
        <f t="shared" si="27"/>
        <v>1.4952662721893493</v>
      </c>
      <c r="U63" s="107">
        <f>F63-лютий!F63</f>
        <v>64</v>
      </c>
      <c r="V63" s="110">
        <f>G63-лютий!G63</f>
        <v>80.47</v>
      </c>
      <c r="W63" s="111">
        <f t="shared" si="23"/>
        <v>16.47</v>
      </c>
      <c r="X63" s="155">
        <f t="shared" si="28"/>
        <v>1.25734375</v>
      </c>
      <c r="Y63" s="197">
        <f t="shared" si="16"/>
        <v>0.41504543956020146</v>
      </c>
    </row>
    <row r="64" spans="1:25" s="6" customFormat="1" ht="31.5">
      <c r="A64" s="8"/>
      <c r="B64" s="275" t="s">
        <v>90</v>
      </c>
      <c r="C64" s="57">
        <v>22012900</v>
      </c>
      <c r="D64" s="248">
        <v>44</v>
      </c>
      <c r="E64" s="102">
        <v>44</v>
      </c>
      <c r="F64" s="102">
        <v>8</v>
      </c>
      <c r="G64" s="106">
        <v>7.76</v>
      </c>
      <c r="H64" s="102">
        <f t="shared" si="22"/>
        <v>-0.2400000000000002</v>
      </c>
      <c r="I64" s="213">
        <f t="shared" si="20"/>
        <v>0.97</v>
      </c>
      <c r="J64" s="115">
        <f t="shared" si="24"/>
        <v>-36.24</v>
      </c>
      <c r="K64" s="155">
        <f t="shared" si="21"/>
        <v>0.17636363636363636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4</v>
      </c>
      <c r="S64" s="115">
        <f t="shared" si="5"/>
        <v>3.76</v>
      </c>
      <c r="T64" s="155">
        <f t="shared" si="27"/>
        <v>1.94</v>
      </c>
      <c r="U64" s="107">
        <f>F64-лютий!F64</f>
        <v>4</v>
      </c>
      <c r="V64" s="110">
        <f>G64-лютий!G64</f>
        <v>1.0599999999999996</v>
      </c>
      <c r="W64" s="111">
        <f t="shared" si="23"/>
        <v>-2.9400000000000004</v>
      </c>
      <c r="X64" s="155">
        <f t="shared" si="28"/>
        <v>0.2649999999999999</v>
      </c>
      <c r="Y64" s="197">
        <f t="shared" si="16"/>
        <v>0.8782239382239381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1564.14</v>
      </c>
      <c r="G65" s="106">
        <v>1700.57</v>
      </c>
      <c r="H65" s="102">
        <f t="shared" si="22"/>
        <v>136.42999999999984</v>
      </c>
      <c r="I65" s="213">
        <f t="shared" si="20"/>
        <v>1.0872236500569001</v>
      </c>
      <c r="J65" s="115">
        <f t="shared" si="24"/>
        <v>-4299.43</v>
      </c>
      <c r="K65" s="155">
        <f t="shared" si="21"/>
        <v>0.28342833333333334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1623.09</v>
      </c>
      <c r="S65" s="115">
        <f t="shared" si="5"/>
        <v>77.48000000000002</v>
      </c>
      <c r="T65" s="155">
        <f t="shared" si="27"/>
        <v>1.0477361082872791</v>
      </c>
      <c r="U65" s="107">
        <f>F65-лютий!F65</f>
        <v>500</v>
      </c>
      <c r="V65" s="110">
        <f>G65-лютий!G65</f>
        <v>586.3399999999999</v>
      </c>
      <c r="W65" s="111">
        <f t="shared" si="23"/>
        <v>86.33999999999992</v>
      </c>
      <c r="X65" s="155">
        <f t="shared" si="28"/>
        <v>1.17268</v>
      </c>
      <c r="Y65" s="197">
        <f t="shared" si="16"/>
        <v>0.13114022319173935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195.14</v>
      </c>
      <c r="G66" s="106">
        <v>160.3</v>
      </c>
      <c r="H66" s="102">
        <f t="shared" si="22"/>
        <v>-34.839999999999975</v>
      </c>
      <c r="I66" s="213">
        <f t="shared" si="20"/>
        <v>0.8214615148098802</v>
      </c>
      <c r="J66" s="115">
        <f t="shared" si="24"/>
        <v>-705.7</v>
      </c>
      <c r="K66" s="155">
        <f t="shared" si="21"/>
        <v>0.18510392609699772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246</v>
      </c>
      <c r="S66" s="115">
        <f t="shared" si="5"/>
        <v>-85.69999999999999</v>
      </c>
      <c r="T66" s="155">
        <f t="shared" si="27"/>
        <v>0.6516260162601627</v>
      </c>
      <c r="U66" s="107">
        <f>F66-лютий!F66</f>
        <v>74.49999999999999</v>
      </c>
      <c r="V66" s="110">
        <f>G66-лютий!G66</f>
        <v>53.420000000000016</v>
      </c>
      <c r="W66" s="111">
        <f t="shared" si="23"/>
        <v>-21.07999999999997</v>
      </c>
      <c r="X66" s="155">
        <f t="shared" si="28"/>
        <v>0.7170469798657721</v>
      </c>
      <c r="Y66" s="197">
        <f t="shared" si="16"/>
        <v>-0.31465458448519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160.42</v>
      </c>
      <c r="G67" s="94">
        <v>124.46</v>
      </c>
      <c r="H67" s="71">
        <f t="shared" si="22"/>
        <v>-35.959999999999994</v>
      </c>
      <c r="I67" s="209">
        <f t="shared" si="20"/>
        <v>0.7758384241366414</v>
      </c>
      <c r="J67" s="72">
        <f t="shared" si="24"/>
        <v>-603.74</v>
      </c>
      <c r="K67" s="75">
        <f t="shared" si="21"/>
        <v>0.17091458390552045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220.94</v>
      </c>
      <c r="S67" s="203">
        <f t="shared" si="5"/>
        <v>-96.48</v>
      </c>
      <c r="T67" s="204">
        <f t="shared" si="27"/>
        <v>0.5633203584683625</v>
      </c>
      <c r="U67" s="73">
        <f>F67-лютий!F67</f>
        <v>62.999999999999986</v>
      </c>
      <c r="V67" s="98">
        <f>G67-лютий!G67</f>
        <v>40.56999999999999</v>
      </c>
      <c r="W67" s="74">
        <f t="shared" si="23"/>
        <v>-22.429999999999993</v>
      </c>
      <c r="X67" s="75">
        <f t="shared" si="28"/>
        <v>0.643968253968254</v>
      </c>
      <c r="Y67" s="197">
        <f t="shared" si="16"/>
        <v>-0.3940565182900715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0.1</v>
      </c>
      <c r="G68" s="94">
        <v>0.06</v>
      </c>
      <c r="H68" s="71">
        <f t="shared" si="22"/>
        <v>-0.04000000000000001</v>
      </c>
      <c r="I68" s="209">
        <f t="shared" si="20"/>
        <v>0.6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</v>
      </c>
      <c r="S68" s="203">
        <f t="shared" si="5"/>
        <v>-0.04000000000000001</v>
      </c>
      <c r="T68" s="204">
        <f t="shared" si="27"/>
        <v>0.6</v>
      </c>
      <c r="U68" s="73">
        <f>F68-лютий!F68</f>
        <v>0.1</v>
      </c>
      <c r="V68" s="98">
        <f>G68-лютий!G68</f>
        <v>0.019999999999999997</v>
      </c>
      <c r="W68" s="74">
        <f t="shared" si="23"/>
        <v>-0.08000000000000002</v>
      </c>
      <c r="X68" s="75"/>
      <c r="Y68" s="197">
        <f t="shared" si="16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F69-лютий!F69</f>
        <v>0</v>
      </c>
      <c r="V69" s="98">
        <f>G69-лютий!G69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34.62</v>
      </c>
      <c r="G70" s="94">
        <v>35.79</v>
      </c>
      <c r="H70" s="71">
        <f t="shared" si="22"/>
        <v>1.1700000000000017</v>
      </c>
      <c r="I70" s="209">
        <f t="shared" si="20"/>
        <v>1.0337954939341423</v>
      </c>
      <c r="J70" s="72">
        <f t="shared" si="24"/>
        <v>-101.01000000000002</v>
      </c>
      <c r="K70" s="75">
        <f t="shared" si="21"/>
        <v>0.2616228070175438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24.96</v>
      </c>
      <c r="S70" s="203">
        <f t="shared" si="5"/>
        <v>10.829999999999998</v>
      </c>
      <c r="T70" s="204">
        <f t="shared" si="27"/>
        <v>1.4338942307692306</v>
      </c>
      <c r="U70" s="73">
        <f>F70-лютий!F70</f>
        <v>11.399999999999999</v>
      </c>
      <c r="V70" s="98">
        <f>G70-лютий!G70</f>
        <v>12.64</v>
      </c>
      <c r="W70" s="74">
        <f t="shared" si="23"/>
        <v>1.240000000000002</v>
      </c>
      <c r="X70" s="75">
        <f t="shared" si="28"/>
        <v>1.1087719298245615</v>
      </c>
      <c r="Y70" s="197">
        <f t="shared" si="16"/>
        <v>0.42370371238199067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F71-лютий!F71</f>
        <v>0</v>
      </c>
      <c r="V71" s="110">
        <f>G71-лютий!G71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1928.65</v>
      </c>
      <c r="G72" s="106">
        <v>1498.7</v>
      </c>
      <c r="H72" s="102">
        <f t="shared" si="22"/>
        <v>-429.95000000000005</v>
      </c>
      <c r="I72" s="213">
        <f t="shared" si="20"/>
        <v>0.7770720452129728</v>
      </c>
      <c r="J72" s="115">
        <f t="shared" si="24"/>
        <v>-6671.3</v>
      </c>
      <c r="K72" s="155">
        <f t="shared" si="21"/>
        <v>0.18343941248470014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3075.73</v>
      </c>
      <c r="S72" s="115">
        <f t="shared" si="5"/>
        <v>-1577.03</v>
      </c>
      <c r="T72" s="155">
        <f t="shared" si="27"/>
        <v>0.48726643756116433</v>
      </c>
      <c r="U72" s="107">
        <f>F72-лютий!F72</f>
        <v>680</v>
      </c>
      <c r="V72" s="110">
        <f>G72-лютий!G72</f>
        <v>426.54999999999995</v>
      </c>
      <c r="W72" s="111">
        <f t="shared" si="23"/>
        <v>-253.45000000000005</v>
      </c>
      <c r="X72" s="155">
        <f t="shared" si="28"/>
        <v>0.6272794117647058</v>
      </c>
      <c r="Y72" s="197">
        <f t="shared" si="16"/>
        <v>-0.5230069421680774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F73-лютий!F73</f>
        <v>0</v>
      </c>
      <c r="V73" s="110">
        <f>G73-лютий!G73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F74-лютий!F74</f>
        <v>0</v>
      </c>
      <c r="V74" s="110">
        <f>G74-лютий!G74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F75-лютий!F75</f>
        <v>0</v>
      </c>
      <c r="V75" s="110">
        <f>G75-лютий!G75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2"/>
        <v>0</v>
      </c>
      <c r="I76" s="213" t="e">
        <f>G76/F76</f>
        <v>#DIV/0!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7"/>
        <v>0</v>
      </c>
      <c r="U76" s="107">
        <f>F76-лютий!F76</f>
        <v>0</v>
      </c>
      <c r="V76" s="110">
        <f>G76-лютий!G76</f>
        <v>0</v>
      </c>
      <c r="W76" s="111">
        <f t="shared" si="23"/>
        <v>0</v>
      </c>
      <c r="X76" s="155" t="e">
        <f t="shared" si="28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9.57</v>
      </c>
      <c r="G77" s="106">
        <v>4.74</v>
      </c>
      <c r="H77" s="102">
        <f t="shared" si="22"/>
        <v>-4.83</v>
      </c>
      <c r="I77" s="213">
        <f>G77/F77</f>
        <v>0.49529780564263326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 t="shared" si="5"/>
        <v>-9.53</v>
      </c>
      <c r="T77" s="155">
        <f t="shared" si="27"/>
        <v>0.33216538192011213</v>
      </c>
      <c r="U77" s="107">
        <f>F77-лютий!F77</f>
        <v>2.9000000000000004</v>
      </c>
      <c r="V77" s="110">
        <f>G77-лютий!G77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0.45</v>
      </c>
      <c r="H78" s="102">
        <f t="shared" si="22"/>
        <v>0.45</v>
      </c>
      <c r="I78" s="213" t="e">
        <f>G78/F78</f>
        <v>#DIV/0!</v>
      </c>
      <c r="J78" s="115">
        <f t="shared" si="24"/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5.78</v>
      </c>
      <c r="T78" s="155">
        <f t="shared" si="27"/>
        <v>-0.08442776735459663</v>
      </c>
      <c r="U78" s="107">
        <f>F78-лютий!F78</f>
        <v>0</v>
      </c>
      <c r="V78" s="110" t="s">
        <v>173</v>
      </c>
      <c r="W78" s="111" t="e">
        <f t="shared" si="23"/>
        <v>#VALUE!</v>
      </c>
      <c r="X78" s="155"/>
      <c r="Y78" s="197">
        <f t="shared" si="16"/>
        <v>-0.08442776735459663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378620.77999999997</v>
      </c>
      <c r="H79" s="103">
        <f>G79-F79</f>
        <v>6425.22299999994</v>
      </c>
      <c r="I79" s="210">
        <f>G79/F79</f>
        <v>1.0172630298217127</v>
      </c>
      <c r="J79" s="104">
        <f>G79-E79</f>
        <v>-1249296.92</v>
      </c>
      <c r="K79" s="156">
        <f>G79/E79</f>
        <v>0.23257980424931798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71191.81999999995</v>
      </c>
      <c r="T79" s="156">
        <f>G79/R79</f>
        <v>1.2315716125117164</v>
      </c>
      <c r="U79" s="103">
        <f>U8+U53+U77+U78</f>
        <v>123391.9</v>
      </c>
      <c r="V79" s="103" t="e">
        <f>V8+V53+V77+V78</f>
        <v>#VALUE!</v>
      </c>
      <c r="W79" s="135" t="e">
        <f>V79-U79</f>
        <v>#VALUE!</v>
      </c>
      <c r="X79" s="156" t="e">
        <f>V79/U79</f>
        <v>#VALUE!</v>
      </c>
      <c r="Y79" s="197">
        <f t="shared" si="16"/>
        <v>0.0679391469942554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F87-лютий!F87</f>
        <v>0</v>
      </c>
      <c r="V87" s="174">
        <f>G87-лютий!G87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f>5000+3318.039</f>
        <v>8318.039</v>
      </c>
      <c r="F88" s="125">
        <v>806.429</v>
      </c>
      <c r="G88" s="126">
        <v>806.46</v>
      </c>
      <c r="H88" s="112">
        <f t="shared" si="31"/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0.11</v>
      </c>
      <c r="S88" s="117">
        <f t="shared" si="29"/>
        <v>806.35</v>
      </c>
      <c r="T88" s="147">
        <f t="shared" si="30"/>
        <v>7331.454545454546</v>
      </c>
      <c r="U88" s="112">
        <f>F88-лютий!F88</f>
        <v>0</v>
      </c>
      <c r="V88" s="118">
        <f>G88-лютий!G88</f>
        <v>0.01999999999998181</v>
      </c>
      <c r="W88" s="117">
        <f t="shared" si="34"/>
        <v>0.01999999999998181</v>
      </c>
      <c r="X88" s="147" t="e">
        <f>V88/U88</f>
        <v>#DIV/0!</v>
      </c>
      <c r="Y88" s="197">
        <f t="shared" si="16"/>
        <v>7322.588023400268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2015</v>
      </c>
      <c r="G89" s="126">
        <v>1201.71</v>
      </c>
      <c r="H89" s="112">
        <f t="shared" si="31"/>
        <v>-813.29</v>
      </c>
      <c r="I89" s="213">
        <f>G89/F89</f>
        <v>0.5963821339950373</v>
      </c>
      <c r="J89" s="117">
        <f aca="true" t="shared" si="35" ref="J89:J98">G89-E89</f>
        <v>-15247.29</v>
      </c>
      <c r="K89" s="147">
        <f>G89/E89</f>
        <v>0.07305672077329929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167.2</v>
      </c>
      <c r="S89" s="117">
        <f t="shared" si="29"/>
        <v>1034.51</v>
      </c>
      <c r="T89" s="147">
        <f t="shared" si="30"/>
        <v>7.18726076555024</v>
      </c>
      <c r="U89" s="112">
        <f>F89-лютий!F89</f>
        <v>1000</v>
      </c>
      <c r="V89" s="118">
        <f>G89-лютий!G89</f>
        <v>1007.26</v>
      </c>
      <c r="W89" s="117">
        <f t="shared" si="34"/>
        <v>7.259999999999991</v>
      </c>
      <c r="X89" s="147">
        <f>V89/U89</f>
        <v>1.00726</v>
      </c>
      <c r="Y89" s="197">
        <f t="shared" si="16"/>
        <v>5.167404804157007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f>22000+15</f>
        <v>22015</v>
      </c>
      <c r="F90" s="125">
        <v>6000</v>
      </c>
      <c r="G90" s="126">
        <v>1457.79</v>
      </c>
      <c r="H90" s="112">
        <f t="shared" si="31"/>
        <v>-4542.21</v>
      </c>
      <c r="I90" s="213">
        <f>G90/F90</f>
        <v>0.242965</v>
      </c>
      <c r="J90" s="117">
        <f t="shared" si="35"/>
        <v>-20557.21</v>
      </c>
      <c r="K90" s="147">
        <f>G90/E90</f>
        <v>0.06621803315920963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1214.24</v>
      </c>
      <c r="S90" s="117">
        <f t="shared" si="29"/>
        <v>243.54999999999995</v>
      </c>
      <c r="T90" s="147">
        <f t="shared" si="30"/>
        <v>1.2005781394123072</v>
      </c>
      <c r="U90" s="112">
        <f>F90-лютий!F90</f>
        <v>3000</v>
      </c>
      <c r="V90" s="118">
        <f>G90-лютий!G90</f>
        <v>1126.6399999999999</v>
      </c>
      <c r="W90" s="117">
        <f t="shared" si="34"/>
        <v>-1873.3600000000001</v>
      </c>
      <c r="X90" s="147">
        <f>V90/U90</f>
        <v>0.37554666666666664</v>
      </c>
      <c r="Y90" s="197">
        <f t="shared" si="16"/>
        <v>-0.07153284251984537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6</v>
      </c>
      <c r="G91" s="126">
        <v>3</v>
      </c>
      <c r="H91" s="112">
        <f t="shared" si="31"/>
        <v>-3</v>
      </c>
      <c r="I91" s="213">
        <f>G91/F91</f>
        <v>0.5</v>
      </c>
      <c r="J91" s="117">
        <f t="shared" si="35"/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3</v>
      </c>
      <c r="S91" s="117">
        <f t="shared" si="29"/>
        <v>0</v>
      </c>
      <c r="T91" s="147">
        <f t="shared" si="30"/>
        <v>1</v>
      </c>
      <c r="U91" s="112">
        <f>F91-лютий!F91</f>
        <v>2</v>
      </c>
      <c r="V91" s="118">
        <f>G91-лютий!G91</f>
        <v>1</v>
      </c>
      <c r="W91" s="117">
        <f t="shared" si="34"/>
        <v>-1</v>
      </c>
      <c r="X91" s="147">
        <f>V91/U91</f>
        <v>0.5</v>
      </c>
      <c r="Y91" s="197">
        <f t="shared" si="16"/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8827.429</v>
      </c>
      <c r="G92" s="128">
        <f>G88+G89+G90+G91</f>
        <v>3468.96</v>
      </c>
      <c r="H92" s="129">
        <f t="shared" si="31"/>
        <v>-5358.469</v>
      </c>
      <c r="I92" s="216">
        <f>G92/F92</f>
        <v>0.3929751233343253</v>
      </c>
      <c r="J92" s="131">
        <f t="shared" si="35"/>
        <v>-43337.079000000005</v>
      </c>
      <c r="K92" s="151">
        <f>G92/E92</f>
        <v>0.07411351342932479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1384.55474</v>
      </c>
      <c r="S92" s="117">
        <f t="shared" si="29"/>
        <v>2084.40526</v>
      </c>
      <c r="T92" s="147">
        <f t="shared" si="30"/>
        <v>2.5054697367906162</v>
      </c>
      <c r="U92" s="129">
        <f>F92-лютий!F92</f>
        <v>4002</v>
      </c>
      <c r="V92" s="174">
        <f>G92-лютий!G92</f>
        <v>2134.92</v>
      </c>
      <c r="W92" s="131">
        <f t="shared" si="34"/>
        <v>-1867.08</v>
      </c>
      <c r="X92" s="151">
        <f>V92/U92</f>
        <v>0.5334632683658171</v>
      </c>
      <c r="Y92" s="197">
        <f t="shared" si="16"/>
        <v>0.7330279907214832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7</v>
      </c>
      <c r="G93" s="126">
        <v>1.24</v>
      </c>
      <c r="H93" s="112">
        <f t="shared" si="31"/>
        <v>-5.76</v>
      </c>
      <c r="I93" s="213"/>
      <c r="J93" s="117">
        <f t="shared" si="35"/>
        <v>-41.76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8.78</v>
      </c>
      <c r="S93" s="117">
        <f t="shared" si="29"/>
        <v>-7.539999999999999</v>
      </c>
      <c r="T93" s="147">
        <f t="shared" si="30"/>
        <v>0.14123006833712984</v>
      </c>
      <c r="U93" s="112">
        <f>F93-лютий!F93</f>
        <v>4</v>
      </c>
      <c r="V93" s="118">
        <f>G93-лютий!G93</f>
        <v>1.22</v>
      </c>
      <c r="W93" s="117">
        <f t="shared" si="34"/>
        <v>-2.7800000000000002</v>
      </c>
      <c r="X93" s="147"/>
      <c r="Y93" s="197">
        <f t="shared" si="16"/>
        <v>-0.7332869135624024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F94-лютий!F94</f>
        <v>0</v>
      </c>
      <c r="V94" s="118">
        <f>G94-лютий!G94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2819.75</v>
      </c>
      <c r="G95" s="126">
        <v>2501.35</v>
      </c>
      <c r="H95" s="112">
        <f t="shared" si="31"/>
        <v>-318.4000000000001</v>
      </c>
      <c r="I95" s="213">
        <f>G95/F95</f>
        <v>0.8870821881372462</v>
      </c>
      <c r="J95" s="117">
        <f t="shared" si="35"/>
        <v>-6548.65</v>
      </c>
      <c r="K95" s="147">
        <f>G95/E95</f>
        <v>0.2763922651933702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2217.95</v>
      </c>
      <c r="S95" s="117">
        <f t="shared" si="29"/>
        <v>283.4000000000001</v>
      </c>
      <c r="T95" s="147">
        <f t="shared" si="30"/>
        <v>1.1277756486845962</v>
      </c>
      <c r="U95" s="112">
        <f>F95-лютий!F95</f>
        <v>1</v>
      </c>
      <c r="V95" s="118">
        <f>G95-лютий!G95</f>
        <v>123.11000000000013</v>
      </c>
      <c r="W95" s="117">
        <f t="shared" si="34"/>
        <v>122.11000000000013</v>
      </c>
      <c r="X95" s="147">
        <f>V95/U95</f>
        <v>123.11000000000013</v>
      </c>
      <c r="Y95" s="197">
        <f t="shared" si="16"/>
        <v>0.0013047016772747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G96-лютий!G96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2502.5899999999997</v>
      </c>
      <c r="H97" s="129">
        <f t="shared" si="31"/>
        <v>-324.1600000000003</v>
      </c>
      <c r="I97" s="216">
        <f>G97/F97</f>
        <v>0.8853241354912885</v>
      </c>
      <c r="J97" s="131">
        <f t="shared" si="35"/>
        <v>-6590.41</v>
      </c>
      <c r="K97" s="151">
        <f>G97/E97</f>
        <v>0.27522159903222254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2226.76</v>
      </c>
      <c r="S97" s="117">
        <f t="shared" si="29"/>
        <v>275.8299999999995</v>
      </c>
      <c r="T97" s="147">
        <f t="shared" si="30"/>
        <v>1.1238705563239861</v>
      </c>
      <c r="U97" s="129">
        <f>F97-лютий!F97</f>
        <v>5</v>
      </c>
      <c r="V97" s="174">
        <f>G97-лютий!G97</f>
        <v>124.32999999999993</v>
      </c>
      <c r="W97" s="131">
        <f t="shared" si="34"/>
        <v>119.32999999999993</v>
      </c>
      <c r="X97" s="151">
        <f>V97/U97</f>
        <v>24.865999999999985</v>
      </c>
      <c r="Y97" s="197">
        <f t="shared" si="16"/>
        <v>-0.001053823965527556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47.413</v>
      </c>
      <c r="F98" s="125">
        <v>8.12522</v>
      </c>
      <c r="G98" s="126">
        <v>12.91</v>
      </c>
      <c r="H98" s="112">
        <f t="shared" si="31"/>
        <v>4.78478</v>
      </c>
      <c r="I98" s="213">
        <f>G98/F98</f>
        <v>1.5888800549400508</v>
      </c>
      <c r="J98" s="117">
        <f t="shared" si="35"/>
        <v>-34.503</v>
      </c>
      <c r="K98" s="147">
        <f>G98/E98</f>
        <v>0.2722881910024677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7.12</v>
      </c>
      <c r="S98" s="117">
        <f t="shared" si="29"/>
        <v>5.79</v>
      </c>
      <c r="T98" s="147">
        <f t="shared" si="30"/>
        <v>1.8132022471910112</v>
      </c>
      <c r="U98" s="112">
        <f>F98-лютий!F98</f>
        <v>4.665220000000001</v>
      </c>
      <c r="V98" s="118">
        <f>G98-лютий!G98</f>
        <v>9.13</v>
      </c>
      <c r="W98" s="117">
        <f t="shared" si="34"/>
        <v>4.46478</v>
      </c>
      <c r="X98" s="147">
        <f>V98/U98</f>
        <v>1.957035252356802</v>
      </c>
      <c r="Y98" s="197">
        <f t="shared" si="16"/>
        <v>0.5641769574122968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11662.30422</v>
      </c>
      <c r="G100" s="183">
        <f>G86+G87+G92+G97+G98</f>
        <v>5984.469999999999</v>
      </c>
      <c r="H100" s="184">
        <f>G100-F100</f>
        <v>-5677.834220000001</v>
      </c>
      <c r="I100" s="217">
        <f>G100/F100</f>
        <v>0.5131464492014426</v>
      </c>
      <c r="J100" s="177">
        <f>G100-E100</f>
        <v>-49961.982</v>
      </c>
      <c r="K100" s="178">
        <f>G100/E100</f>
        <v>0.10696781987175878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3654.01</v>
      </c>
      <c r="S100" s="177">
        <f>G100-R100</f>
        <v>2330.459999999999</v>
      </c>
      <c r="T100" s="178">
        <f t="shared" si="30"/>
        <v>1.6377815057977398</v>
      </c>
      <c r="U100" s="183">
        <f>U86+U87+U92+U97+U98</f>
        <v>4011.66522</v>
      </c>
      <c r="V100" s="183">
        <f>V86+V87+V92+V97+V98</f>
        <v>2268.38</v>
      </c>
      <c r="W100" s="177">
        <f>V100-U100</f>
        <v>-1743.2852199999998</v>
      </c>
      <c r="X100" s="178">
        <f>V100/U100</f>
        <v>0.5654459870407631</v>
      </c>
      <c r="Y100" s="197">
        <f>T100-Q100</f>
        <v>0.019043460842287363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1683864.152</v>
      </c>
      <c r="F101" s="183">
        <f>F79+F100</f>
        <v>383857.86122</v>
      </c>
      <c r="G101" s="183">
        <f>G79+G100</f>
        <v>384605.24999999994</v>
      </c>
      <c r="H101" s="184">
        <f>G101-F101</f>
        <v>747.3887799999211</v>
      </c>
      <c r="I101" s="217">
        <f>G101/F101</f>
        <v>1.0019470456528479</v>
      </c>
      <c r="J101" s="177">
        <f>G101-E101</f>
        <v>-1299258.902</v>
      </c>
      <c r="K101" s="178">
        <f>G101/E101</f>
        <v>0.22840634117852515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311082.97000000003</v>
      </c>
      <c r="S101" s="177">
        <f>S79+S100</f>
        <v>73522.27999999994</v>
      </c>
      <c r="T101" s="178">
        <f t="shared" si="30"/>
        <v>1.2363429923534546</v>
      </c>
      <c r="U101" s="184">
        <f>U79+U100</f>
        <v>127403.56521999999</v>
      </c>
      <c r="V101" s="184" t="e">
        <f>V79+V100</f>
        <v>#VALUE!</v>
      </c>
      <c r="W101" s="177" t="e">
        <f>V101-U101</f>
        <v>#VALUE!</v>
      </c>
      <c r="X101" s="178" t="e">
        <f>V101/U101</f>
        <v>#VALUE!</v>
      </c>
      <c r="Y101" s="197">
        <f>T101-Q101</f>
        <v>0.06173835002929873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0" t="s">
        <v>145</v>
      </c>
      <c r="C104" s="261"/>
      <c r="D104" s="4" t="s">
        <v>24</v>
      </c>
      <c r="F104" s="78"/>
      <c r="G104" s="261">
        <f>IF(H79&lt;0,ABS(H79/C103),0)</f>
        <v>0</v>
      </c>
      <c r="H104" s="262"/>
      <c r="I104" s="262"/>
      <c r="J104" s="262"/>
      <c r="V104" s="261" t="e">
        <f>IF(W79&lt;0,ABS(W79/C103),0)</f>
        <v>#VALUE!</v>
      </c>
    </row>
    <row r="105" spans="2:7" ht="30.75">
      <c r="B105" s="263" t="s">
        <v>146</v>
      </c>
      <c r="C105" s="264">
        <v>43189</v>
      </c>
      <c r="D105" s="261"/>
      <c r="E105" s="261">
        <v>10196.34</v>
      </c>
      <c r="F105" s="78"/>
      <c r="G105" s="4" t="s">
        <v>147</v>
      </c>
    </row>
    <row r="106" spans="3:10" ht="15">
      <c r="C106" s="264">
        <v>43188</v>
      </c>
      <c r="D106" s="261"/>
      <c r="E106" s="261">
        <v>14970</v>
      </c>
      <c r="F106" s="78"/>
      <c r="G106" s="278"/>
      <c r="H106" s="278"/>
      <c r="I106" s="265"/>
      <c r="J106" s="266"/>
    </row>
    <row r="107" spans="3:10" ht="15">
      <c r="C107" s="264">
        <v>43187</v>
      </c>
      <c r="D107" s="261"/>
      <c r="E107" s="261">
        <v>5510.6</v>
      </c>
      <c r="F107" s="78"/>
      <c r="G107" s="278"/>
      <c r="H107" s="278"/>
      <c r="I107" s="265"/>
      <c r="J107" s="267"/>
    </row>
    <row r="108" spans="3:10" ht="15">
      <c r="C108" s="264"/>
      <c r="D108" s="4"/>
      <c r="F108" s="268"/>
      <c r="G108" s="279"/>
      <c r="H108" s="279"/>
      <c r="I108" s="269"/>
      <c r="J108" s="266"/>
    </row>
    <row r="109" spans="2:10" ht="16.5">
      <c r="B109" s="280" t="s">
        <v>148</v>
      </c>
      <c r="C109" s="281"/>
      <c r="D109" s="270"/>
      <c r="E109" s="273">
        <v>189.52627999999999</v>
      </c>
      <c r="F109" s="271" t="s">
        <v>149</v>
      </c>
      <c r="G109" s="278"/>
      <c r="H109" s="278"/>
      <c r="I109" s="272"/>
      <c r="J109" s="266"/>
    </row>
  </sheetData>
  <sheetProtection/>
  <mergeCells count="27">
    <mergeCell ref="G106:H106"/>
    <mergeCell ref="G107:H107"/>
    <mergeCell ref="G108:H108"/>
    <mergeCell ref="B109:C109"/>
    <mergeCell ref="G109:H109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" right="0" top="0" bottom="0" header="0" footer="0"/>
  <pageSetup fitToHeight="1" fitToWidth="1"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9"/>
  <sheetViews>
    <sheetView zoomScale="78" zoomScaleNormal="78" zoomScalePageLayoutView="0" workbookViewId="0" topLeftCell="B1">
      <pane xSplit="2" ySplit="8" topLeftCell="D9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13" sqref="B11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2.50390625" style="186" customWidth="1"/>
    <col min="26" max="16384" width="9.125" style="4" customWidth="1"/>
  </cols>
  <sheetData>
    <row r="1" spans="1:25" s="1" customFormat="1" ht="26.25" customHeight="1">
      <c r="A1" s="300" t="s">
        <v>154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186"/>
    </row>
    <row r="2" spans="2:25" s="1" customFormat="1" ht="15.75" customHeight="1">
      <c r="B2" s="301"/>
      <c r="C2" s="301"/>
      <c r="D2" s="301"/>
      <c r="E2" s="301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02"/>
      <c r="B3" s="304"/>
      <c r="C3" s="305" t="s">
        <v>0</v>
      </c>
      <c r="D3" s="306" t="s">
        <v>131</v>
      </c>
      <c r="E3" s="306" t="s">
        <v>131</v>
      </c>
      <c r="F3" s="25"/>
      <c r="G3" s="307" t="s">
        <v>26</v>
      </c>
      <c r="H3" s="308"/>
      <c r="I3" s="308"/>
      <c r="J3" s="308"/>
      <c r="K3" s="309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10" t="s">
        <v>141</v>
      </c>
      <c r="V3" s="311" t="s">
        <v>136</v>
      </c>
      <c r="W3" s="311"/>
      <c r="X3" s="311"/>
      <c r="Y3" s="194"/>
    </row>
    <row r="4" spans="1:24" ht="22.5" customHeight="1">
      <c r="A4" s="302"/>
      <c r="B4" s="304"/>
      <c r="C4" s="305"/>
      <c r="D4" s="306"/>
      <c r="E4" s="306"/>
      <c r="F4" s="294" t="s">
        <v>139</v>
      </c>
      <c r="G4" s="296" t="s">
        <v>31</v>
      </c>
      <c r="H4" s="284" t="s">
        <v>129</v>
      </c>
      <c r="I4" s="298" t="s">
        <v>130</v>
      </c>
      <c r="J4" s="284" t="s">
        <v>132</v>
      </c>
      <c r="K4" s="298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98"/>
      <c r="V4" s="282" t="s">
        <v>155</v>
      </c>
      <c r="W4" s="284" t="s">
        <v>44</v>
      </c>
      <c r="X4" s="286" t="s">
        <v>43</v>
      </c>
    </row>
    <row r="5" spans="1:24" ht="67.5" customHeight="1">
      <c r="A5" s="303"/>
      <c r="B5" s="304"/>
      <c r="C5" s="305"/>
      <c r="D5" s="306"/>
      <c r="E5" s="306"/>
      <c r="F5" s="295"/>
      <c r="G5" s="297"/>
      <c r="H5" s="285"/>
      <c r="I5" s="299"/>
      <c r="J5" s="285"/>
      <c r="K5" s="299"/>
      <c r="L5" s="287" t="s">
        <v>135</v>
      </c>
      <c r="M5" s="288"/>
      <c r="N5" s="289"/>
      <c r="O5" s="290" t="s">
        <v>153</v>
      </c>
      <c r="P5" s="291"/>
      <c r="Q5" s="292"/>
      <c r="R5" s="293" t="s">
        <v>152</v>
      </c>
      <c r="S5" s="293"/>
      <c r="T5" s="293"/>
      <c r="U5" s="299"/>
      <c r="V5" s="283"/>
      <c r="W5" s="285"/>
      <c r="X5" s="286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 aca="true" t="shared" si="0" ref="I8:I15">G8/F8</f>
        <v>1.0005397097259996</v>
      </c>
      <c r="J8" s="104">
        <f aca="true" t="shared" si="1" ref="J8:J52">G8-E8</f>
        <v>-1338741.8800000001</v>
      </c>
      <c r="K8" s="156">
        <f aca="true" t="shared" si="2" ref="K8:K14">G8/E8</f>
        <v>0.1530347636498726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47060.45999999999</v>
      </c>
      <c r="T8" s="143">
        <f aca="true" t="shared" si="6" ref="T8:T20">G8/R8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 aca="true" t="shared" si="7" ref="X8:X15">V8/U8</f>
        <v>1.0010058240519362</v>
      </c>
      <c r="Y8" s="199">
        <f aca="true" t="shared" si="8" ref="Y8:Y22">T8-Q8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 t="shared" si="0"/>
        <v>1.0078172006300288</v>
      </c>
      <c r="J9" s="108">
        <f t="shared" si="1"/>
        <v>-816124.13</v>
      </c>
      <c r="K9" s="148">
        <f t="shared" si="2"/>
        <v>0.1464949074621184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38192.92999999999</v>
      </c>
      <c r="T9" s="144">
        <f t="shared" si="6"/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 t="shared" si="7"/>
        <v>1.0144563149421921</v>
      </c>
      <c r="Y9" s="200">
        <f t="shared" si="8"/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 aca="true" t="shared" si="9" ref="H10:H47">G10-F10</f>
        <v>10.75</v>
      </c>
      <c r="I10" s="209">
        <f t="shared" si="0"/>
        <v>1.0000841298275847</v>
      </c>
      <c r="J10" s="72">
        <f t="shared" si="1"/>
        <v>-754013.55</v>
      </c>
      <c r="K10" s="75">
        <f t="shared" si="2"/>
        <v>0.1449183661203239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35062.81</v>
      </c>
      <c r="T10" s="145">
        <f t="shared" si="6"/>
        <v>1.3781309233247316</v>
      </c>
      <c r="U10" s="73">
        <f>F10-січень!F10</f>
        <v>68800</v>
      </c>
      <c r="V10" s="98">
        <f>G10-січень!G10</f>
        <v>68810.76</v>
      </c>
      <c r="W10" s="74">
        <f aca="true" t="shared" si="10" ref="W10:W52">V10-U10</f>
        <v>10.759999999994761</v>
      </c>
      <c r="X10" s="75">
        <f t="shared" si="7"/>
        <v>1.000156395348837</v>
      </c>
      <c r="Y10" s="198">
        <f t="shared" si="8"/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7084.7</v>
      </c>
      <c r="G11" s="94">
        <v>7687.4</v>
      </c>
      <c r="H11" s="71">
        <f t="shared" si="9"/>
        <v>602.6999999999998</v>
      </c>
      <c r="I11" s="209">
        <f t="shared" si="0"/>
        <v>1.0850706451931627</v>
      </c>
      <c r="J11" s="72">
        <f t="shared" si="1"/>
        <v>-42212.6</v>
      </c>
      <c r="K11" s="75">
        <f t="shared" si="2"/>
        <v>0.1540561122244489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1792.1399999999994</v>
      </c>
      <c r="T11" s="145">
        <f t="shared" si="6"/>
        <v>1.3039967702866369</v>
      </c>
      <c r="U11" s="73">
        <f>F11-січень!F11</f>
        <v>3600</v>
      </c>
      <c r="V11" s="98">
        <f>G11-січень!G11</f>
        <v>4202.7</v>
      </c>
      <c r="W11" s="74">
        <f t="shared" si="10"/>
        <v>602.6999999999998</v>
      </c>
      <c r="X11" s="75">
        <f t="shared" si="7"/>
        <v>1.1674166666666665</v>
      </c>
      <c r="Y11" s="198">
        <f t="shared" si="8"/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1464.409</v>
      </c>
      <c r="G12" s="94">
        <v>1592.92</v>
      </c>
      <c r="H12" s="71">
        <f t="shared" si="9"/>
        <v>128.51099999999997</v>
      </c>
      <c r="I12" s="209">
        <f t="shared" si="0"/>
        <v>1.087756221110359</v>
      </c>
      <c r="J12" s="72">
        <f t="shared" si="1"/>
        <v>-10407.08</v>
      </c>
      <c r="K12" s="75">
        <f t="shared" si="2"/>
        <v>0.13274333333333335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555.5</v>
      </c>
      <c r="T12" s="145">
        <f t="shared" si="6"/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 t="shared" si="10"/>
        <v>128.52999999999997</v>
      </c>
      <c r="X12" s="75">
        <f t="shared" si="7"/>
        <v>1.1785138888888889</v>
      </c>
      <c r="Y12" s="198">
        <f t="shared" si="8"/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2485.9</v>
      </c>
      <c r="G13" s="94">
        <v>2701.47</v>
      </c>
      <c r="H13" s="71">
        <f t="shared" si="9"/>
        <v>215.5699999999997</v>
      </c>
      <c r="I13" s="209">
        <f t="shared" si="0"/>
        <v>1.0867170843557663</v>
      </c>
      <c r="J13" s="72">
        <f t="shared" si="1"/>
        <v>-9298.53</v>
      </c>
      <c r="K13" s="75">
        <f t="shared" si="2"/>
        <v>0.22512249999999998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673.1499999999999</v>
      </c>
      <c r="T13" s="145">
        <f t="shared" si="6"/>
        <v>1.331875640924509</v>
      </c>
      <c r="U13" s="73">
        <f>F13-січень!F13</f>
        <v>2010</v>
      </c>
      <c r="V13" s="98">
        <f>G13-січень!G13</f>
        <v>2225.6</v>
      </c>
      <c r="W13" s="74">
        <f t="shared" si="10"/>
        <v>215.5999999999999</v>
      </c>
      <c r="X13" s="75">
        <f t="shared" si="7"/>
        <v>1.1072636815920398</v>
      </c>
      <c r="Y13" s="198">
        <f t="shared" si="8"/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178.63</v>
      </c>
      <c r="G14" s="94">
        <v>307.62</v>
      </c>
      <c r="H14" s="71">
        <f t="shared" si="9"/>
        <v>128.99</v>
      </c>
      <c r="I14" s="209">
        <f t="shared" si="0"/>
        <v>1.7221071488551756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109.31</v>
      </c>
      <c r="T14" s="145">
        <f t="shared" si="6"/>
        <v>1.551207705108164</v>
      </c>
      <c r="U14" s="73">
        <f>F14-січень!F14</f>
        <v>33</v>
      </c>
      <c r="V14" s="98">
        <f>G14-січень!G14</f>
        <v>161.99</v>
      </c>
      <c r="W14" s="74">
        <f t="shared" si="10"/>
        <v>128.99</v>
      </c>
      <c r="X14" s="75">
        <f t="shared" si="7"/>
        <v>4.908787878787879</v>
      </c>
      <c r="Y14" s="198">
        <f t="shared" si="8"/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10</v>
      </c>
      <c r="G15" s="106">
        <v>119.53</v>
      </c>
      <c r="H15" s="102">
        <f t="shared" si="9"/>
        <v>109.53</v>
      </c>
      <c r="I15" s="208">
        <f t="shared" si="0"/>
        <v>11.953</v>
      </c>
      <c r="J15" s="108">
        <f t="shared" si="1"/>
        <v>-780.47</v>
      </c>
      <c r="K15" s="108">
        <f aca="true" t="shared" si="11" ref="K15:K23">G15/E15*100</f>
        <v>13.28111111111111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105.62</v>
      </c>
      <c r="T15" s="146">
        <f t="shared" si="6"/>
        <v>8.593098490294752</v>
      </c>
      <c r="U15" s="107">
        <f>F15-січень!F15</f>
        <v>10</v>
      </c>
      <c r="V15" s="110">
        <f>G15-січень!G15</f>
        <v>119.53</v>
      </c>
      <c r="W15" s="111">
        <f t="shared" si="10"/>
        <v>109.53</v>
      </c>
      <c r="X15" s="148">
        <f t="shared" si="7"/>
        <v>11.953</v>
      </c>
      <c r="Y15" s="197">
        <f t="shared" si="8"/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 t="shared" si="9"/>
        <v>-537.4300000000003</v>
      </c>
      <c r="I19" s="208">
        <f t="shared" si="12"/>
        <v>0.9407202735495257</v>
      </c>
      <c r="J19" s="108">
        <f t="shared" si="1"/>
        <v>-143199.43</v>
      </c>
      <c r="K19" s="108">
        <f t="shared" si="11"/>
        <v>5.620959875566803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-5177.34</v>
      </c>
      <c r="T19" s="146">
        <f t="shared" si="6"/>
        <v>0.6222549250651725</v>
      </c>
      <c r="U19" s="107">
        <f>F19-січень!F19</f>
        <v>4076.42</v>
      </c>
      <c r="V19" s="110">
        <f>G19-січень!G19</f>
        <v>3538.99</v>
      </c>
      <c r="W19" s="111">
        <f t="shared" si="10"/>
        <v>-537.4300000000003</v>
      </c>
      <c r="X19" s="148">
        <f t="shared" si="13"/>
        <v>0.868161278769116</v>
      </c>
      <c r="Y19" s="197">
        <f t="shared" si="8"/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9066</v>
      </c>
      <c r="G20" s="141">
        <v>8528.57</v>
      </c>
      <c r="H20" s="170">
        <f t="shared" si="9"/>
        <v>-537.4300000000003</v>
      </c>
      <c r="I20" s="211">
        <f t="shared" si="12"/>
        <v>0.9407202735495257</v>
      </c>
      <c r="J20" s="171">
        <f t="shared" si="1"/>
        <v>-58179.43</v>
      </c>
      <c r="K20" s="171">
        <f t="shared" si="11"/>
        <v>12.784928344426454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-5177.34</v>
      </c>
      <c r="T20" s="172">
        <f t="shared" si="6"/>
        <v>0.6222549250651725</v>
      </c>
      <c r="U20" s="136">
        <f>F20-січень!F20</f>
        <v>4076.42</v>
      </c>
      <c r="V20" s="124">
        <f>G20-січень!G20</f>
        <v>3538.99</v>
      </c>
      <c r="W20" s="116">
        <f t="shared" si="10"/>
        <v>-537.4300000000003</v>
      </c>
      <c r="X20" s="180">
        <f t="shared" si="13"/>
        <v>0.868161278769116</v>
      </c>
      <c r="Y20" s="197">
        <f t="shared" si="8"/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 t="shared" si="9"/>
        <v>-602.3899999999994</v>
      </c>
      <c r="I23" s="208">
        <f t="shared" si="12"/>
        <v>0.993562359267781</v>
      </c>
      <c r="J23" s="108">
        <f t="shared" si="1"/>
        <v>-378596.48999999993</v>
      </c>
      <c r="K23" s="108">
        <f t="shared" si="11"/>
        <v>19.71526221501411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13863.470000000001</v>
      </c>
      <c r="T23" s="147">
        <f aca="true" t="shared" si="14" ref="T23:T41">G23/R23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 t="shared" si="10"/>
        <v>-602.4300000000003</v>
      </c>
      <c r="X23" s="148">
        <f t="shared" si="13"/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 t="shared" si="9"/>
        <v>-784.489999999998</v>
      </c>
      <c r="I24" s="208">
        <f t="shared" si="12"/>
        <v>0.9767161900374891</v>
      </c>
      <c r="J24" s="108">
        <f t="shared" si="1"/>
        <v>-183933.97999999998</v>
      </c>
      <c r="K24" s="148">
        <f aca="true" t="shared" si="15" ref="K24:K41">G24/E24</f>
        <v>0.1517603600778447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1452.9700000000048</v>
      </c>
      <c r="T24" s="147">
        <f t="shared" si="14"/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 t="shared" si="10"/>
        <v>-785.3999999999978</v>
      </c>
      <c r="X24" s="148">
        <f t="shared" si="13"/>
        <v>0.9494627115372243</v>
      </c>
      <c r="Y24" s="197">
        <f aca="true" t="shared" si="16" ref="Y24:Y99">T24-Q24</f>
        <v>-0.0001860979112959793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 t="shared" si="9"/>
        <v>131.52000000000044</v>
      </c>
      <c r="I25" s="211">
        <f t="shared" si="12"/>
        <v>1.0242612064194798</v>
      </c>
      <c r="J25" s="171">
        <f t="shared" si="1"/>
        <v>-23231.48</v>
      </c>
      <c r="K25" s="180">
        <f t="shared" si="15"/>
        <v>0.1929030016675931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1144.3100000000004</v>
      </c>
      <c r="T25" s="152">
        <f t="shared" si="14"/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 t="shared" si="10"/>
        <v>130.6300000000001</v>
      </c>
      <c r="X25" s="180">
        <f t="shared" si="13"/>
        <v>1.167474358974359</v>
      </c>
      <c r="Y25" s="197">
        <f t="shared" si="16"/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 t="shared" si="9"/>
        <v>118.24000000000001</v>
      </c>
      <c r="I26" s="212">
        <f t="shared" si="12"/>
        <v>1.606017118548511</v>
      </c>
      <c r="J26" s="176">
        <f t="shared" si="1"/>
        <v>-1208.65</v>
      </c>
      <c r="K26" s="191">
        <f t="shared" si="15"/>
        <v>0.205880420499343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163.12000000000003</v>
      </c>
      <c r="T26" s="162">
        <f t="shared" si="14"/>
        <v>2.0858017706183856</v>
      </c>
      <c r="U26" s="167">
        <f>F26-січень!F26</f>
        <v>40</v>
      </c>
      <c r="V26" s="167">
        <f>G26-січень!G26</f>
        <v>158.24</v>
      </c>
      <c r="W26" s="176">
        <f t="shared" si="10"/>
        <v>118.24000000000001</v>
      </c>
      <c r="X26" s="191">
        <f aca="true" t="shared" si="17" ref="X26:X35">V26/U26</f>
        <v>3.9560000000000004</v>
      </c>
      <c r="Y26" s="197">
        <f t="shared" si="16"/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 t="shared" si="9"/>
        <v>13.279999999998836</v>
      </c>
      <c r="I27" s="212">
        <f t="shared" si="12"/>
        <v>1.0025411939401707</v>
      </c>
      <c r="J27" s="176">
        <f t="shared" si="1"/>
        <v>-22022.83</v>
      </c>
      <c r="K27" s="191">
        <f t="shared" si="15"/>
        <v>0.19217849020614772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981.1899999999987</v>
      </c>
      <c r="T27" s="162">
        <f t="shared" si="14"/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 t="shared" si="10"/>
        <v>12.3799999999992</v>
      </c>
      <c r="X27" s="191">
        <f t="shared" si="17"/>
        <v>1.0167297297297286</v>
      </c>
      <c r="Y27" s="197">
        <f t="shared" si="16"/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59.3</v>
      </c>
      <c r="G28" s="206">
        <v>74.16</v>
      </c>
      <c r="H28" s="218">
        <f t="shared" si="9"/>
        <v>14.86</v>
      </c>
      <c r="I28" s="220">
        <f t="shared" si="12"/>
        <v>1.2505902192242833</v>
      </c>
      <c r="J28" s="221">
        <f t="shared" si="1"/>
        <v>-241.84</v>
      </c>
      <c r="K28" s="222">
        <f t="shared" si="15"/>
        <v>0.23468354430379745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-54.81</v>
      </c>
      <c r="T28" s="222">
        <f t="shared" si="14"/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 t="shared" si="10"/>
        <v>14.860000000000003</v>
      </c>
      <c r="X28" s="222">
        <f t="shared" si="17"/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135.81</v>
      </c>
      <c r="G29" s="206">
        <v>239.19</v>
      </c>
      <c r="H29" s="218">
        <f t="shared" si="9"/>
        <v>103.38</v>
      </c>
      <c r="I29" s="220">
        <f t="shared" si="12"/>
        <v>1.76121051468964</v>
      </c>
      <c r="J29" s="221">
        <f t="shared" si="1"/>
        <v>-966.81</v>
      </c>
      <c r="K29" s="222">
        <f t="shared" si="15"/>
        <v>0.19833333333333333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217.93</v>
      </c>
      <c r="T29" s="222">
        <f t="shared" si="14"/>
        <v>11.250705550329256</v>
      </c>
      <c r="U29" s="206">
        <f>F29-січень!F29</f>
        <v>10</v>
      </c>
      <c r="V29" s="206">
        <f>G29-січень!G29</f>
        <v>113.38</v>
      </c>
      <c r="W29" s="221">
        <f t="shared" si="10"/>
        <v>103.38</v>
      </c>
      <c r="X29" s="222">
        <f t="shared" si="17"/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300.09</v>
      </c>
      <c r="G30" s="206">
        <v>465.94</v>
      </c>
      <c r="H30" s="218">
        <f t="shared" si="9"/>
        <v>165.85000000000002</v>
      </c>
      <c r="I30" s="220">
        <f t="shared" si="12"/>
        <v>1.5526675330734114</v>
      </c>
      <c r="J30" s="221">
        <f t="shared" si="1"/>
        <v>-1889.06</v>
      </c>
      <c r="K30" s="222">
        <f t="shared" si="15"/>
        <v>0.19785138004246283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423.3</v>
      </c>
      <c r="T30" s="222">
        <f t="shared" si="14"/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 t="shared" si="10"/>
        <v>164.95000000000005</v>
      </c>
      <c r="X30" s="222">
        <f t="shared" si="17"/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4925.8</v>
      </c>
      <c r="G31" s="206">
        <v>4773.23</v>
      </c>
      <c r="H31" s="218">
        <f t="shared" si="9"/>
        <v>-152.57000000000062</v>
      </c>
      <c r="I31" s="220">
        <f t="shared" si="12"/>
        <v>0.9690263510495756</v>
      </c>
      <c r="J31" s="221">
        <f t="shared" si="1"/>
        <v>-20133.77</v>
      </c>
      <c r="K31" s="222">
        <f t="shared" si="15"/>
        <v>0.19164210864415623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557.8899999999994</v>
      </c>
      <c r="T31" s="222">
        <f t="shared" si="14"/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 t="shared" si="10"/>
        <v>-152.57000000000062</v>
      </c>
      <c r="X31" s="222">
        <f t="shared" si="17"/>
        <v>0.7880972222222213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 t="shared" si="9"/>
        <v>106.78999999999999</v>
      </c>
      <c r="I32" s="211">
        <f t="shared" si="12"/>
        <v>1.671508520404955</v>
      </c>
      <c r="J32" s="171">
        <f t="shared" si="1"/>
        <v>-16.180000000000007</v>
      </c>
      <c r="K32" s="180">
        <f t="shared" si="15"/>
        <v>0.9426241134751773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186.64999999999998</v>
      </c>
      <c r="T32" s="150">
        <f t="shared" si="14"/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 t="shared" si="10"/>
        <v>106.78999999999999</v>
      </c>
      <c r="X32" s="180">
        <f t="shared" si="17"/>
        <v>54.394999999999996</v>
      </c>
      <c r="Y32" s="198">
        <f t="shared" si="16"/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60.84</v>
      </c>
      <c r="H33" s="71">
        <f t="shared" si="9"/>
        <v>32.99</v>
      </c>
      <c r="I33" s="209">
        <f t="shared" si="12"/>
        <v>2.184560143626571</v>
      </c>
      <c r="J33" s="72">
        <f t="shared" si="1"/>
        <v>-39.16</v>
      </c>
      <c r="K33" s="75">
        <f t="shared" si="15"/>
        <v>0.6084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35.84</v>
      </c>
      <c r="T33" s="75">
        <f t="shared" si="14"/>
        <v>2.4336</v>
      </c>
      <c r="U33" s="73">
        <f>F33-січень!F33</f>
        <v>0</v>
      </c>
      <c r="V33" s="98">
        <f>G33-січень!G33</f>
        <v>32.99</v>
      </c>
      <c r="W33" s="74">
        <f t="shared" si="10"/>
        <v>32.99</v>
      </c>
      <c r="X33" s="75" t="e">
        <f t="shared" si="17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131.18</v>
      </c>
      <c r="G34" s="94">
        <v>204.98</v>
      </c>
      <c r="H34" s="71">
        <f t="shared" si="9"/>
        <v>73.79999999999998</v>
      </c>
      <c r="I34" s="209">
        <f t="shared" si="12"/>
        <v>1.5625857600243938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150.81</v>
      </c>
      <c r="T34" s="75">
        <f t="shared" si="14"/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 t="shared" si="17"/>
        <v>37.89999999999999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 t="shared" si="9"/>
        <v>-1022.7999999999993</v>
      </c>
      <c r="I35" s="211">
        <f t="shared" si="12"/>
        <v>0.9636175819422549</v>
      </c>
      <c r="J35" s="171">
        <f t="shared" si="1"/>
        <v>-160686.32</v>
      </c>
      <c r="K35" s="180">
        <f t="shared" si="15"/>
        <v>0.14426593387866393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122.01000000000204</v>
      </c>
      <c r="T35" s="149">
        <f t="shared" si="14"/>
        <v>1.0045243063267981</v>
      </c>
      <c r="U35" s="136">
        <f>F35-січень!F35</f>
        <v>14759</v>
      </c>
      <c r="V35" s="124">
        <f>G35-січень!G35</f>
        <v>13736.18</v>
      </c>
      <c r="W35" s="116">
        <f t="shared" si="10"/>
        <v>-1022.8199999999997</v>
      </c>
      <c r="X35" s="180">
        <f t="shared" si="17"/>
        <v>0.9306985568127922</v>
      </c>
      <c r="Y35" s="198">
        <f t="shared" si="16"/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v>4326.71</v>
      </c>
      <c r="H36" s="158">
        <f t="shared" si="9"/>
        <v>-4899.5199999999995</v>
      </c>
      <c r="I36" s="212">
        <f t="shared" si="12"/>
        <v>0.468957526530338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-4532.499999999999</v>
      </c>
      <c r="T36" s="162">
        <f t="shared" si="14"/>
        <v>0.4883855332473212</v>
      </c>
      <c r="U36" s="167">
        <f>F36-січень!F36</f>
        <v>5159</v>
      </c>
      <c r="V36" s="167">
        <f>G36-січень!G36</f>
        <v>259.47000000000025</v>
      </c>
      <c r="W36" s="176">
        <f t="shared" si="10"/>
        <v>-4899.53</v>
      </c>
      <c r="X36" s="191">
        <f aca="true" t="shared" si="19" ref="X36:X41">V36/U36*100</f>
        <v>5.029463074239199</v>
      </c>
      <c r="Y36" s="197">
        <f t="shared" si="16"/>
        <v>-0.5471266127351511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18969.66</v>
      </c>
      <c r="H37" s="158">
        <f t="shared" si="9"/>
        <v>83.40999999999985</v>
      </c>
      <c r="I37" s="212">
        <f t="shared" si="12"/>
        <v>1.0044164405321332</v>
      </c>
      <c r="J37" s="176">
        <f t="shared" si="1"/>
        <v>-108116.34</v>
      </c>
      <c r="K37" s="191">
        <f t="shared" si="15"/>
        <v>0.1492663235918984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861.2099999999991</v>
      </c>
      <c r="T37" s="162">
        <f t="shared" si="14"/>
        <v>1.047558460276832</v>
      </c>
      <c r="U37" s="167">
        <f>F37-січень!F37</f>
        <v>9600</v>
      </c>
      <c r="V37" s="167">
        <f>G37-січень!G37</f>
        <v>9683.4</v>
      </c>
      <c r="W37" s="176">
        <f t="shared" si="10"/>
        <v>83.39999999999964</v>
      </c>
      <c r="X37" s="191">
        <f>V37/U37</f>
        <v>1.0086875</v>
      </c>
      <c r="Y37" s="197">
        <f t="shared" si="16"/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8884.4</v>
      </c>
      <c r="G38" s="206">
        <v>7954.81</v>
      </c>
      <c r="H38" s="218">
        <f t="shared" si="9"/>
        <v>-929.5899999999992</v>
      </c>
      <c r="I38" s="220">
        <f t="shared" si="12"/>
        <v>0.8953682859844222</v>
      </c>
      <c r="J38" s="221">
        <f t="shared" si="1"/>
        <v>-49335.19</v>
      </c>
      <c r="K38" s="222">
        <f t="shared" si="15"/>
        <v>0.13885163204747775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-691.0699999999988</v>
      </c>
      <c r="T38" s="222">
        <f t="shared" si="14"/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 t="shared" si="10"/>
        <v>-929.5999999999995</v>
      </c>
      <c r="X38" s="222">
        <f t="shared" si="19"/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15793.45</v>
      </c>
      <c r="G39" s="206">
        <v>15859.42</v>
      </c>
      <c r="H39" s="218">
        <f t="shared" si="9"/>
        <v>65.96999999999935</v>
      </c>
      <c r="I39" s="220">
        <f t="shared" si="12"/>
        <v>1.0041770480800585</v>
      </c>
      <c r="J39" s="221">
        <f t="shared" si="1"/>
        <v>-90126.58</v>
      </c>
      <c r="K39" s="222">
        <f t="shared" si="15"/>
        <v>0.14963693317985394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876.6200000000008</v>
      </c>
      <c r="T39" s="222">
        <f t="shared" si="14"/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 t="shared" si="10"/>
        <v>65.96999999999935</v>
      </c>
      <c r="X39" s="222">
        <f t="shared" si="19"/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341.83</v>
      </c>
      <c r="G40" s="206">
        <v>165.21</v>
      </c>
      <c r="H40" s="218">
        <f t="shared" si="9"/>
        <v>-176.61999999999998</v>
      </c>
      <c r="I40" s="220">
        <f t="shared" si="12"/>
        <v>0.48331041745897085</v>
      </c>
      <c r="J40" s="221">
        <f t="shared" si="1"/>
        <v>-3234.79</v>
      </c>
      <c r="K40" s="222">
        <f t="shared" si="15"/>
        <v>0.048591176470588235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-48.120000000000005</v>
      </c>
      <c r="T40" s="222">
        <f t="shared" si="14"/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 t="shared" si="10"/>
        <v>-176.62</v>
      </c>
      <c r="X40" s="222">
        <f t="shared" si="19"/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3092.8</v>
      </c>
      <c r="G41" s="206">
        <v>3110.24</v>
      </c>
      <c r="H41" s="218">
        <f t="shared" si="9"/>
        <v>17.4399999999996</v>
      </c>
      <c r="I41" s="220">
        <f t="shared" si="12"/>
        <v>1.0056389032591826</v>
      </c>
      <c r="J41" s="221">
        <f t="shared" si="1"/>
        <v>-17989.760000000002</v>
      </c>
      <c r="K41" s="222">
        <f t="shared" si="15"/>
        <v>0.14740473933649287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-15.41000000000031</v>
      </c>
      <c r="T41" s="222">
        <f t="shared" si="14"/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 t="shared" si="10"/>
        <v>17.42999999999961</v>
      </c>
      <c r="X41" s="222">
        <f t="shared" si="19"/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 t="shared" si="9"/>
        <v>9.700000000000003</v>
      </c>
      <c r="I43" s="208">
        <f>G43/F43</f>
        <v>1.2991057662658034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7.93</v>
      </c>
      <c r="T43" s="148">
        <f aca="true" t="shared" si="20" ref="T43:T51">G43/R43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 t="shared" si="10"/>
        <v>9.700000000000003</v>
      </c>
      <c r="X43" s="148">
        <f>V43/U43</f>
        <v>1.4409090909090911</v>
      </c>
      <c r="Y43" s="197">
        <f t="shared" si="16"/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24.9</v>
      </c>
      <c r="G44" s="94">
        <v>33.8</v>
      </c>
      <c r="H44" s="71">
        <f t="shared" si="9"/>
        <v>8.899999999999999</v>
      </c>
      <c r="I44" s="209">
        <f>G44/F44</f>
        <v>1.357429718875502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13.939999999999998</v>
      </c>
      <c r="T44" s="75">
        <f t="shared" si="20"/>
        <v>1.701913393756294</v>
      </c>
      <c r="U44" s="73">
        <f>F44-січень!F44</f>
        <v>14.999999999999998</v>
      </c>
      <c r="V44" s="98">
        <f>G44-січень!G44</f>
        <v>23.9</v>
      </c>
      <c r="W44" s="74">
        <f t="shared" si="10"/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20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20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 t="shared" si="9"/>
        <v>174.73999999999796</v>
      </c>
      <c r="I47" s="208">
        <f>G47/F47</f>
        <v>1.0029197221769224</v>
      </c>
      <c r="J47" s="108">
        <f t="shared" si="1"/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12394.340000000004</v>
      </c>
      <c r="T47" s="160">
        <f t="shared" si="20"/>
        <v>1.260229156623673</v>
      </c>
      <c r="U47" s="107">
        <f>F47-січень!F47</f>
        <v>34802</v>
      </c>
      <c r="V47" s="110">
        <f>G47-січень!G47</f>
        <v>34976.7</v>
      </c>
      <c r="W47" s="111">
        <f t="shared" si="10"/>
        <v>174.6999999999971</v>
      </c>
      <c r="X47" s="148">
        <f>V47/U47</f>
        <v>1.0050198264467558</v>
      </c>
      <c r="Y47" s="197">
        <f t="shared" si="16"/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20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 t="shared" si="1"/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3837.6799999999985</v>
      </c>
      <c r="T49" s="153">
        <f t="shared" si="20"/>
        <v>1.393368149693264</v>
      </c>
      <c r="U49" s="73">
        <f>F49-січень!F49</f>
        <v>9700</v>
      </c>
      <c r="V49" s="98">
        <f>G49-січень!G49</f>
        <v>9709.759999999998</v>
      </c>
      <c r="W49" s="74">
        <f t="shared" si="10"/>
        <v>9.7599999999984</v>
      </c>
      <c r="X49" s="75">
        <f>V49/U49</f>
        <v>1.00100618556701</v>
      </c>
      <c r="Y49" s="197">
        <f t="shared" si="16"/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 t="shared" si="1"/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8550.940000000002</v>
      </c>
      <c r="T50" s="153">
        <f t="shared" si="20"/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 t="shared" si="10"/>
        <v>166.95000000000437</v>
      </c>
      <c r="X50" s="75">
        <f>V50/U50</f>
        <v>1.006651394422311</v>
      </c>
      <c r="Y50" s="197">
        <f t="shared" si="16"/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20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 aca="true" t="shared" si="21" ref="I53:I72">G53/F53</f>
        <v>0.987226581355141</v>
      </c>
      <c r="J53" s="104">
        <f>G53-E53</f>
        <v>-40303.22</v>
      </c>
      <c r="K53" s="156">
        <f aca="true" t="shared" si="22" ref="K53:K72">G53/E53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 t="shared" si="16"/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55.49</v>
      </c>
      <c r="H54" s="102">
        <f aca="true" t="shared" si="23" ref="H54:H78">G54-F54</f>
        <v>49.38</v>
      </c>
      <c r="I54" s="213">
        <f t="shared" si="21"/>
        <v>9.081833060556464</v>
      </c>
      <c r="J54" s="115">
        <f>G54-E54</f>
        <v>-2594.51</v>
      </c>
      <c r="K54" s="155">
        <f t="shared" si="22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 aca="true" t="shared" si="24" ref="W54:W78">V54-U54</f>
        <v>49.38</v>
      </c>
      <c r="X54" s="155">
        <f>V54/U54</f>
        <v>10.876000000000001</v>
      </c>
      <c r="Y54" s="197">
        <f t="shared" si="16"/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280.078</v>
      </c>
      <c r="G55" s="106">
        <v>280.08</v>
      </c>
      <c r="H55" s="102">
        <f t="shared" si="23"/>
        <v>0.0020000000000095497</v>
      </c>
      <c r="I55" s="213">
        <f t="shared" si="21"/>
        <v>1.0000071408679012</v>
      </c>
      <c r="J55" s="115">
        <f aca="true" t="shared" si="25" ref="J55:J78">G55-E55</f>
        <v>-4719.92</v>
      </c>
      <c r="K55" s="155">
        <f t="shared" si="22"/>
        <v>0.056015999999999996</v>
      </c>
      <c r="L55" s="115"/>
      <c r="M55" s="115"/>
      <c r="N55" s="115"/>
      <c r="O55" s="115">
        <v>27997.6</v>
      </c>
      <c r="P55" s="115">
        <f aca="true" t="shared" si="26" ref="P55:P72">E55-O55</f>
        <v>-22997.6</v>
      </c>
      <c r="Q55" s="155">
        <f aca="true" t="shared" si="27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8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4"/>
        <v>0.0020000000000095497</v>
      </c>
      <c r="X55" s="155">
        <f aca="true" t="shared" si="29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14</v>
      </c>
      <c r="G56" s="106">
        <v>13.23</v>
      </c>
      <c r="H56" s="102">
        <f t="shared" si="23"/>
        <v>-0.7699999999999996</v>
      </c>
      <c r="I56" s="213">
        <f t="shared" si="21"/>
        <v>0.9450000000000001</v>
      </c>
      <c r="J56" s="115">
        <f t="shared" si="25"/>
        <v>-144.77</v>
      </c>
      <c r="K56" s="155">
        <f t="shared" si="22"/>
        <v>0.08373417721518987</v>
      </c>
      <c r="L56" s="115"/>
      <c r="M56" s="115"/>
      <c r="N56" s="115"/>
      <c r="O56" s="115">
        <v>153.3</v>
      </c>
      <c r="P56" s="115">
        <f t="shared" si="26"/>
        <v>4.699999999999989</v>
      </c>
      <c r="Q56" s="155">
        <f t="shared" si="27"/>
        <v>1.030658838878017</v>
      </c>
      <c r="R56" s="115">
        <v>57.08</v>
      </c>
      <c r="S56" s="115">
        <f t="shared" si="5"/>
        <v>-43.849999999999994</v>
      </c>
      <c r="T56" s="155">
        <f t="shared" si="28"/>
        <v>0.23177995795374914</v>
      </c>
      <c r="U56" s="107">
        <f>F56-січень!F56</f>
        <v>14</v>
      </c>
      <c r="V56" s="110">
        <f>G56-січень!G56</f>
        <v>13.23</v>
      </c>
      <c r="W56" s="111">
        <f t="shared" si="24"/>
        <v>-0.7699999999999996</v>
      </c>
      <c r="X56" s="155">
        <f t="shared" si="29"/>
        <v>0.9450000000000001</v>
      </c>
      <c r="Y56" s="197">
        <f t="shared" si="16"/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3</v>
      </c>
      <c r="G57" s="106">
        <v>2.02</v>
      </c>
      <c r="H57" s="102">
        <f t="shared" si="23"/>
        <v>-0.98</v>
      </c>
      <c r="I57" s="213">
        <f t="shared" si="21"/>
        <v>0.6733333333333333</v>
      </c>
      <c r="J57" s="115">
        <f t="shared" si="25"/>
        <v>-10.98</v>
      </c>
      <c r="K57" s="155">
        <f t="shared" si="22"/>
        <v>0.1553846153846154</v>
      </c>
      <c r="L57" s="115"/>
      <c r="M57" s="115"/>
      <c r="N57" s="115"/>
      <c r="O57" s="115">
        <v>12.95</v>
      </c>
      <c r="P57" s="115">
        <f t="shared" si="26"/>
        <v>0.05000000000000071</v>
      </c>
      <c r="Q57" s="225">
        <f t="shared" si="27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4"/>
        <v>-1</v>
      </c>
      <c r="X57" s="155">
        <f t="shared" si="29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88.43</v>
      </c>
      <c r="G58" s="106">
        <v>52.18</v>
      </c>
      <c r="H58" s="102">
        <f t="shared" si="23"/>
        <v>-36.25000000000001</v>
      </c>
      <c r="I58" s="213">
        <f t="shared" si="21"/>
        <v>0.5900712427909081</v>
      </c>
      <c r="J58" s="115">
        <f t="shared" si="25"/>
        <v>-691.82</v>
      </c>
      <c r="K58" s="155">
        <f t="shared" si="22"/>
        <v>0.07013440860215053</v>
      </c>
      <c r="L58" s="115"/>
      <c r="M58" s="115"/>
      <c r="N58" s="115"/>
      <c r="O58" s="115">
        <v>705.31</v>
      </c>
      <c r="P58" s="115">
        <f t="shared" si="26"/>
        <v>38.690000000000055</v>
      </c>
      <c r="Q58" s="155">
        <f t="shared" si="27"/>
        <v>1.0548553118486907</v>
      </c>
      <c r="R58" s="115">
        <v>82.08</v>
      </c>
      <c r="S58" s="115">
        <f t="shared" si="5"/>
        <v>-29.9</v>
      </c>
      <c r="T58" s="155">
        <f t="shared" si="28"/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 t="shared" si="24"/>
        <v>-36.25000000000001</v>
      </c>
      <c r="X58" s="155">
        <f t="shared" si="29"/>
        <v>0.39583333333333326</v>
      </c>
      <c r="Y58" s="197">
        <f t="shared" si="16"/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10</v>
      </c>
      <c r="G59" s="106">
        <v>-11.58</v>
      </c>
      <c r="H59" s="102">
        <f t="shared" si="23"/>
        <v>-21.58</v>
      </c>
      <c r="I59" s="213">
        <f t="shared" si="21"/>
        <v>-1.158</v>
      </c>
      <c r="J59" s="115">
        <f t="shared" si="25"/>
        <v>-127.08</v>
      </c>
      <c r="K59" s="155">
        <f t="shared" si="22"/>
        <v>-0.10025974025974026</v>
      </c>
      <c r="L59" s="115"/>
      <c r="M59" s="115"/>
      <c r="N59" s="115"/>
      <c r="O59" s="115">
        <v>114.3</v>
      </c>
      <c r="P59" s="115">
        <f t="shared" si="26"/>
        <v>1.2000000000000028</v>
      </c>
      <c r="Q59" s="155">
        <f t="shared" si="27"/>
        <v>1.010498687664042</v>
      </c>
      <c r="R59" s="115">
        <v>0</v>
      </c>
      <c r="S59" s="115">
        <f t="shared" si="5"/>
        <v>-11.58</v>
      </c>
      <c r="T59" s="155" t="e">
        <f t="shared" si="28"/>
        <v>#DIV/0!</v>
      </c>
      <c r="U59" s="107">
        <f>F59-січень!F59</f>
        <v>10</v>
      </c>
      <c r="V59" s="110">
        <f>G59-січень!G59</f>
        <v>-5.03</v>
      </c>
      <c r="W59" s="111">
        <f t="shared" si="24"/>
        <v>-15.030000000000001</v>
      </c>
      <c r="X59" s="155">
        <f t="shared" si="29"/>
        <v>-0.503</v>
      </c>
      <c r="Y59" s="197" t="e">
        <f t="shared" si="16"/>
        <v>#DIV/0!</v>
      </c>
    </row>
    <row r="60" spans="1:25" s="6" customFormat="1" ht="30.75">
      <c r="A60" s="8"/>
      <c r="B60" s="274" t="s">
        <v>89</v>
      </c>
      <c r="C60" s="40">
        <v>22010300</v>
      </c>
      <c r="D60" s="249">
        <v>1284</v>
      </c>
      <c r="E60" s="102">
        <v>1284</v>
      </c>
      <c r="F60" s="102">
        <v>184</v>
      </c>
      <c r="G60" s="106">
        <v>177.19</v>
      </c>
      <c r="H60" s="102">
        <f t="shared" si="23"/>
        <v>-6.810000000000002</v>
      </c>
      <c r="I60" s="213">
        <f t="shared" si="21"/>
        <v>0.9629891304347826</v>
      </c>
      <c r="J60" s="115">
        <f t="shared" si="25"/>
        <v>-1106.81</v>
      </c>
      <c r="K60" s="155">
        <f t="shared" si="22"/>
        <v>0.13799844236760125</v>
      </c>
      <c r="L60" s="115"/>
      <c r="M60" s="115"/>
      <c r="N60" s="115"/>
      <c r="O60" s="115">
        <v>1205.14</v>
      </c>
      <c r="P60" s="115">
        <f t="shared" si="26"/>
        <v>78.8599999999999</v>
      </c>
      <c r="Q60" s="155">
        <f t="shared" si="27"/>
        <v>1.0654363808354215</v>
      </c>
      <c r="R60" s="115">
        <v>192.39</v>
      </c>
      <c r="S60" s="115">
        <f t="shared" si="5"/>
        <v>-15.199999999999989</v>
      </c>
      <c r="T60" s="155">
        <f t="shared" si="28"/>
        <v>0.920993814647331</v>
      </c>
      <c r="U60" s="107">
        <f>F60-січень!F60</f>
        <v>94.81</v>
      </c>
      <c r="V60" s="110">
        <f>G60-січень!G60</f>
        <v>88</v>
      </c>
      <c r="W60" s="111">
        <f t="shared" si="24"/>
        <v>-6.810000000000002</v>
      </c>
      <c r="X60" s="155">
        <f t="shared" si="29"/>
        <v>0.9281721337411665</v>
      </c>
      <c r="Y60" s="197">
        <f t="shared" si="16"/>
        <v>-0.14444256618809048</v>
      </c>
    </row>
    <row r="61" spans="1:25" s="6" customFormat="1" ht="18" hidden="1">
      <c r="A61" s="8"/>
      <c r="B61" s="274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3"/>
        <v>0</v>
      </c>
      <c r="I61" s="213" t="e">
        <f t="shared" si="21"/>
        <v>#DIV/0!</v>
      </c>
      <c r="J61" s="115">
        <f t="shared" si="25"/>
        <v>0</v>
      </c>
      <c r="K61" s="155" t="e">
        <f t="shared" si="22"/>
        <v>#DIV/0!</v>
      </c>
      <c r="L61" s="115"/>
      <c r="M61" s="115"/>
      <c r="N61" s="115"/>
      <c r="O61" s="115">
        <v>23.38</v>
      </c>
      <c r="P61" s="115">
        <f t="shared" si="26"/>
        <v>-23.38</v>
      </c>
      <c r="Q61" s="155">
        <f t="shared" si="27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4"/>
        <v>0</v>
      </c>
      <c r="X61" s="155" t="e">
        <f t="shared" si="29"/>
        <v>#DIV/0!</v>
      </c>
      <c r="Y61" s="197">
        <f t="shared" si="16"/>
        <v>0</v>
      </c>
    </row>
    <row r="62" spans="1:25" s="6" customFormat="1" ht="18">
      <c r="A62" s="8"/>
      <c r="B62" s="275" t="s">
        <v>65</v>
      </c>
      <c r="C62" s="57">
        <v>22012500</v>
      </c>
      <c r="D62" s="248">
        <v>21260</v>
      </c>
      <c r="E62" s="102">
        <v>21260</v>
      </c>
      <c r="F62" s="102">
        <f>3690+200</f>
        <v>3890</v>
      </c>
      <c r="G62" s="106">
        <v>3955.42</v>
      </c>
      <c r="H62" s="102">
        <f t="shared" si="23"/>
        <v>65.42000000000007</v>
      </c>
      <c r="I62" s="213">
        <f t="shared" si="21"/>
        <v>1.0168174807197943</v>
      </c>
      <c r="J62" s="115">
        <f t="shared" si="25"/>
        <v>-17304.58</v>
      </c>
      <c r="K62" s="155">
        <f t="shared" si="22"/>
        <v>0.18604985888993414</v>
      </c>
      <c r="L62" s="115"/>
      <c r="M62" s="115"/>
      <c r="N62" s="115"/>
      <c r="O62" s="115">
        <v>20110.14</v>
      </c>
      <c r="P62" s="115">
        <f t="shared" si="26"/>
        <v>1149.8600000000006</v>
      </c>
      <c r="Q62" s="155">
        <f t="shared" si="27"/>
        <v>1.0571781200926498</v>
      </c>
      <c r="R62" s="115">
        <v>2143.72</v>
      </c>
      <c r="S62" s="115">
        <f t="shared" si="5"/>
        <v>1811.7000000000003</v>
      </c>
      <c r="T62" s="155">
        <f t="shared" si="28"/>
        <v>1.8451196984680838</v>
      </c>
      <c r="U62" s="107">
        <f>F62-січень!F62</f>
        <v>2000</v>
      </c>
      <c r="V62" s="110">
        <f>G62-січень!G62</f>
        <v>2061.32</v>
      </c>
      <c r="W62" s="111">
        <f t="shared" si="24"/>
        <v>61.320000000000164</v>
      </c>
      <c r="X62" s="155">
        <f t="shared" si="29"/>
        <v>1.0306600000000001</v>
      </c>
      <c r="Y62" s="197">
        <f t="shared" si="16"/>
        <v>0.787941578375434</v>
      </c>
    </row>
    <row r="63" spans="1:25" s="6" customFormat="1" ht="31.5">
      <c r="A63" s="8"/>
      <c r="B63" s="275" t="s">
        <v>86</v>
      </c>
      <c r="C63" s="57">
        <v>22012600</v>
      </c>
      <c r="D63" s="248">
        <v>767</v>
      </c>
      <c r="E63" s="102">
        <v>767</v>
      </c>
      <c r="F63" s="102">
        <v>121</v>
      </c>
      <c r="G63" s="106">
        <v>121.69</v>
      </c>
      <c r="H63" s="102">
        <f t="shared" si="23"/>
        <v>0.6899999999999977</v>
      </c>
      <c r="I63" s="213">
        <f t="shared" si="21"/>
        <v>1.005702479338843</v>
      </c>
      <c r="J63" s="115">
        <f t="shared" si="25"/>
        <v>-645.31</v>
      </c>
      <c r="K63" s="155">
        <f t="shared" si="22"/>
        <v>0.15865710560625815</v>
      </c>
      <c r="L63" s="115"/>
      <c r="M63" s="115"/>
      <c r="N63" s="115"/>
      <c r="O63" s="115">
        <v>710.04</v>
      </c>
      <c r="P63" s="115">
        <f t="shared" si="26"/>
        <v>56.960000000000036</v>
      </c>
      <c r="Q63" s="155">
        <f t="shared" si="27"/>
        <v>1.0802208326291478</v>
      </c>
      <c r="R63" s="115">
        <v>90.44</v>
      </c>
      <c r="S63" s="115">
        <f t="shared" si="5"/>
        <v>31.25</v>
      </c>
      <c r="T63" s="155">
        <f t="shared" si="28"/>
        <v>1.345532950022114</v>
      </c>
      <c r="U63" s="107">
        <f>F63-січень!F63</f>
        <v>64</v>
      </c>
      <c r="V63" s="110">
        <f>G63-січень!G63</f>
        <v>62.32</v>
      </c>
      <c r="W63" s="111">
        <f t="shared" si="24"/>
        <v>-1.6799999999999997</v>
      </c>
      <c r="X63" s="155">
        <f t="shared" si="29"/>
        <v>0.97375</v>
      </c>
      <c r="Y63" s="197">
        <f t="shared" si="16"/>
        <v>0.26531211739296623</v>
      </c>
    </row>
    <row r="64" spans="1:25" s="6" customFormat="1" ht="31.5">
      <c r="A64" s="8"/>
      <c r="B64" s="275" t="s">
        <v>90</v>
      </c>
      <c r="C64" s="57">
        <v>22012900</v>
      </c>
      <c r="D64" s="248">
        <v>44</v>
      </c>
      <c r="E64" s="102">
        <v>44</v>
      </c>
      <c r="F64" s="102">
        <v>4</v>
      </c>
      <c r="G64" s="106">
        <v>6.7</v>
      </c>
      <c r="H64" s="102">
        <f t="shared" si="23"/>
        <v>2.7</v>
      </c>
      <c r="I64" s="213">
        <f t="shared" si="21"/>
        <v>1.675</v>
      </c>
      <c r="J64" s="115">
        <f t="shared" si="25"/>
        <v>-37.3</v>
      </c>
      <c r="K64" s="155">
        <f t="shared" si="22"/>
        <v>0.15227272727272728</v>
      </c>
      <c r="L64" s="115"/>
      <c r="M64" s="115"/>
      <c r="N64" s="115"/>
      <c r="O64" s="115">
        <v>41.44</v>
      </c>
      <c r="P64" s="115">
        <f t="shared" si="26"/>
        <v>2.5600000000000023</v>
      </c>
      <c r="Q64" s="155">
        <f t="shared" si="27"/>
        <v>1.0617760617760619</v>
      </c>
      <c r="R64" s="115">
        <v>0</v>
      </c>
      <c r="S64" s="115">
        <f t="shared" si="5"/>
        <v>6.7</v>
      </c>
      <c r="T64" s="155" t="e">
        <f t="shared" si="28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4"/>
        <v>2.6400000000000006</v>
      </c>
      <c r="X64" s="155">
        <f t="shared" si="29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1064.14</v>
      </c>
      <c r="G65" s="106">
        <v>1114.23</v>
      </c>
      <c r="H65" s="102">
        <f t="shared" si="23"/>
        <v>50.08999999999992</v>
      </c>
      <c r="I65" s="213">
        <f t="shared" si="21"/>
        <v>1.0470708741331027</v>
      </c>
      <c r="J65" s="115">
        <f t="shared" si="25"/>
        <v>-4885.77</v>
      </c>
      <c r="K65" s="155">
        <f t="shared" si="22"/>
        <v>0.185705</v>
      </c>
      <c r="L65" s="115"/>
      <c r="M65" s="115"/>
      <c r="N65" s="115"/>
      <c r="O65" s="115">
        <v>6545.96</v>
      </c>
      <c r="P65" s="115">
        <f t="shared" si="26"/>
        <v>-545.96</v>
      </c>
      <c r="Q65" s="155">
        <f t="shared" si="27"/>
        <v>0.9165958850955398</v>
      </c>
      <c r="R65" s="115">
        <v>1163.35</v>
      </c>
      <c r="S65" s="115">
        <f t="shared" si="5"/>
        <v>-49.11999999999989</v>
      </c>
      <c r="T65" s="155">
        <f t="shared" si="28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4"/>
        <v>50.08999999999992</v>
      </c>
      <c r="X65" s="155">
        <f t="shared" si="29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 t="shared" si="23"/>
        <v>-13.760000000000005</v>
      </c>
      <c r="I66" s="213">
        <f t="shared" si="21"/>
        <v>0.8859416445623342</v>
      </c>
      <c r="J66" s="115">
        <f t="shared" si="25"/>
        <v>-759.12</v>
      </c>
      <c r="K66" s="155">
        <f t="shared" si="22"/>
        <v>0.12341801385681293</v>
      </c>
      <c r="L66" s="115"/>
      <c r="M66" s="115"/>
      <c r="N66" s="115"/>
      <c r="O66" s="115">
        <v>896.22</v>
      </c>
      <c r="P66" s="115">
        <f t="shared" si="26"/>
        <v>-30.220000000000027</v>
      </c>
      <c r="Q66" s="155">
        <f t="shared" si="27"/>
        <v>0.9662806007453527</v>
      </c>
      <c r="R66" s="115">
        <v>89.05</v>
      </c>
      <c r="S66" s="115">
        <f t="shared" si="5"/>
        <v>17.83</v>
      </c>
      <c r="T66" s="155">
        <f t="shared" si="28"/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 t="shared" si="24"/>
        <v>-13.760000000000012</v>
      </c>
      <c r="X66" s="155">
        <f t="shared" si="29"/>
        <v>0.8150537634408601</v>
      </c>
      <c r="Y66" s="197">
        <f t="shared" si="16"/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97.42</v>
      </c>
      <c r="G67" s="94">
        <v>83.89</v>
      </c>
      <c r="H67" s="71">
        <f t="shared" si="23"/>
        <v>-13.530000000000001</v>
      </c>
      <c r="I67" s="209">
        <f t="shared" si="21"/>
        <v>0.8611168137959351</v>
      </c>
      <c r="J67" s="72">
        <f t="shared" si="25"/>
        <v>-644.3100000000001</v>
      </c>
      <c r="K67" s="75">
        <f t="shared" si="22"/>
        <v>0.11520186761878604</v>
      </c>
      <c r="L67" s="72"/>
      <c r="M67" s="72"/>
      <c r="N67" s="72"/>
      <c r="O67" s="72">
        <v>760.62</v>
      </c>
      <c r="P67" s="72">
        <f t="shared" si="26"/>
        <v>-32.41999999999996</v>
      </c>
      <c r="Q67" s="75">
        <f t="shared" si="27"/>
        <v>0.957376876758434</v>
      </c>
      <c r="R67" s="72">
        <v>73.71</v>
      </c>
      <c r="S67" s="203">
        <f t="shared" si="5"/>
        <v>10.180000000000007</v>
      </c>
      <c r="T67" s="204">
        <f t="shared" si="28"/>
        <v>1.1381088047754715</v>
      </c>
      <c r="U67" s="73">
        <f>F67-січень!F67</f>
        <v>63</v>
      </c>
      <c r="V67" s="98">
        <f>G67-січень!G67</f>
        <v>49.47</v>
      </c>
      <c r="W67" s="74">
        <f t="shared" si="24"/>
        <v>-13.530000000000001</v>
      </c>
      <c r="X67" s="75">
        <f t="shared" si="29"/>
        <v>0.7852380952380952</v>
      </c>
      <c r="Y67" s="197">
        <f t="shared" si="16"/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0.04</v>
      </c>
      <c r="H68" s="71">
        <f t="shared" si="23"/>
        <v>0.04</v>
      </c>
      <c r="I68" s="209" t="e">
        <f t="shared" si="21"/>
        <v>#DIV/0!</v>
      </c>
      <c r="J68" s="72">
        <f t="shared" si="25"/>
        <v>-0.96</v>
      </c>
      <c r="K68" s="75">
        <f t="shared" si="22"/>
        <v>0.04</v>
      </c>
      <c r="L68" s="72"/>
      <c r="M68" s="72"/>
      <c r="N68" s="72"/>
      <c r="O68" s="72">
        <v>0.18</v>
      </c>
      <c r="P68" s="72">
        <f t="shared" si="26"/>
        <v>0.8200000000000001</v>
      </c>
      <c r="Q68" s="75">
        <f t="shared" si="27"/>
        <v>5.555555555555555</v>
      </c>
      <c r="R68" s="72">
        <v>0.1</v>
      </c>
      <c r="S68" s="203">
        <f t="shared" si="5"/>
        <v>-0.060000000000000005</v>
      </c>
      <c r="T68" s="204">
        <f t="shared" si="28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4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3"/>
        <v>0</v>
      </c>
      <c r="I69" s="209" t="e">
        <f t="shared" si="21"/>
        <v>#DIV/0!</v>
      </c>
      <c r="J69" s="72">
        <f t="shared" si="25"/>
        <v>0</v>
      </c>
      <c r="K69" s="75" t="e">
        <f t="shared" si="22"/>
        <v>#DIV/0!</v>
      </c>
      <c r="L69" s="72"/>
      <c r="M69" s="72"/>
      <c r="N69" s="72"/>
      <c r="O69" s="72">
        <v>0</v>
      </c>
      <c r="P69" s="72">
        <f t="shared" si="26"/>
        <v>0</v>
      </c>
      <c r="Q69" s="75" t="e">
        <f t="shared" si="27"/>
        <v>#DIV/0!</v>
      </c>
      <c r="R69" s="72">
        <f>O69</f>
        <v>0</v>
      </c>
      <c r="S69" s="203">
        <f t="shared" si="5"/>
        <v>0</v>
      </c>
      <c r="T69" s="204" t="e">
        <f t="shared" si="28"/>
        <v>#DIV/0!</v>
      </c>
      <c r="U69" s="73">
        <f>F69-січень!F69</f>
        <v>0</v>
      </c>
      <c r="V69" s="98">
        <f>G69-січень!G69</f>
        <v>0</v>
      </c>
      <c r="W69" s="74">
        <f t="shared" si="24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23.22</v>
      </c>
      <c r="G70" s="94">
        <v>23.15</v>
      </c>
      <c r="H70" s="71">
        <f t="shared" si="23"/>
        <v>-0.07000000000000028</v>
      </c>
      <c r="I70" s="209">
        <f t="shared" si="21"/>
        <v>0.9969853574504737</v>
      </c>
      <c r="J70" s="72">
        <f t="shared" si="25"/>
        <v>-113.65</v>
      </c>
      <c r="K70" s="75">
        <f t="shared" si="22"/>
        <v>0.1692251461988304</v>
      </c>
      <c r="L70" s="72"/>
      <c r="M70" s="72"/>
      <c r="N70" s="72"/>
      <c r="O70" s="72">
        <v>135.42</v>
      </c>
      <c r="P70" s="72">
        <f t="shared" si="26"/>
        <v>1.3800000000000239</v>
      </c>
      <c r="Q70" s="75">
        <f t="shared" si="27"/>
        <v>1.01019051838724</v>
      </c>
      <c r="R70" s="72">
        <v>15.24</v>
      </c>
      <c r="S70" s="203">
        <f t="shared" si="5"/>
        <v>7.909999999999998</v>
      </c>
      <c r="T70" s="204">
        <f t="shared" si="28"/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 t="shared" si="24"/>
        <v>-0.07000000000000028</v>
      </c>
      <c r="X70" s="75">
        <f t="shared" si="29"/>
        <v>0.993859649122807</v>
      </c>
      <c r="Y70" s="197">
        <f t="shared" si="16"/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3"/>
        <v>-1.5</v>
      </c>
      <c r="I71" s="213">
        <f t="shared" si="21"/>
        <v>0</v>
      </c>
      <c r="J71" s="115">
        <f t="shared" si="25"/>
        <v>-3</v>
      </c>
      <c r="K71" s="155">
        <f t="shared" si="22"/>
        <v>0</v>
      </c>
      <c r="L71" s="115"/>
      <c r="M71" s="115"/>
      <c r="N71" s="115"/>
      <c r="O71" s="115">
        <v>2.04</v>
      </c>
      <c r="P71" s="115">
        <f t="shared" si="26"/>
        <v>0.96</v>
      </c>
      <c r="Q71" s="155">
        <f t="shared" si="27"/>
        <v>1.4705882352941175</v>
      </c>
      <c r="R71" s="115">
        <v>1.67</v>
      </c>
      <c r="S71" s="115">
        <f t="shared" si="5"/>
        <v>-1.67</v>
      </c>
      <c r="T71" s="155">
        <f t="shared" si="28"/>
        <v>0</v>
      </c>
      <c r="U71" s="107">
        <f>F71-січень!F71</f>
        <v>1.5</v>
      </c>
      <c r="V71" s="110">
        <f>G71-січень!G71</f>
        <v>0</v>
      </c>
      <c r="W71" s="111">
        <f t="shared" si="24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1248.65</v>
      </c>
      <c r="G72" s="106">
        <v>1072.15</v>
      </c>
      <c r="H72" s="102">
        <f t="shared" si="23"/>
        <v>-176.5</v>
      </c>
      <c r="I72" s="213">
        <f t="shared" si="21"/>
        <v>0.8586473391262563</v>
      </c>
      <c r="J72" s="115">
        <f t="shared" si="25"/>
        <v>-7097.85</v>
      </c>
      <c r="K72" s="155">
        <f t="shared" si="22"/>
        <v>0.13123011015911873</v>
      </c>
      <c r="L72" s="115"/>
      <c r="M72" s="115"/>
      <c r="N72" s="115"/>
      <c r="O72" s="115">
        <v>8086.92</v>
      </c>
      <c r="P72" s="115">
        <f t="shared" si="26"/>
        <v>83.07999999999993</v>
      </c>
      <c r="Q72" s="155">
        <f t="shared" si="27"/>
        <v>1.0102733797292418</v>
      </c>
      <c r="R72" s="115">
        <v>2711.43</v>
      </c>
      <c r="S72" s="115">
        <f t="shared" si="5"/>
        <v>-1639.2799999999997</v>
      </c>
      <c r="T72" s="155">
        <f t="shared" si="28"/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 t="shared" si="24"/>
        <v>-176.5</v>
      </c>
      <c r="X72" s="155">
        <f t="shared" si="29"/>
        <v>0.7404411764705883</v>
      </c>
      <c r="Y72" s="197">
        <f t="shared" si="16"/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3"/>
        <v>0</v>
      </c>
      <c r="I73" s="213" t="e">
        <f>G73/F73*100</f>
        <v>#DIV/0!</v>
      </c>
      <c r="J73" s="115">
        <f t="shared" si="25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8"/>
        <v>#DIV/0!</v>
      </c>
      <c r="U73" s="107">
        <f>F73-січень!F73</f>
        <v>0</v>
      </c>
      <c r="V73" s="110">
        <f>G73-січень!G73</f>
        <v>0</v>
      </c>
      <c r="W73" s="111">
        <f t="shared" si="24"/>
        <v>0</v>
      </c>
      <c r="X73" s="155" t="e">
        <f t="shared" si="29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8"/>
        <v>0</v>
      </c>
      <c r="U74" s="107">
        <f>F74-січень!F74</f>
        <v>0</v>
      </c>
      <c r="V74" s="110">
        <f>G74-січень!G74</f>
        <v>0</v>
      </c>
      <c r="W74" s="116">
        <f t="shared" si="24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3"/>
        <v>0</v>
      </c>
      <c r="I75" s="213" t="e">
        <f>G75/F75*100</f>
        <v>#DIV/0!</v>
      </c>
      <c r="J75" s="115">
        <f t="shared" si="25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8"/>
        <v>#DIV/0!</v>
      </c>
      <c r="U75" s="107">
        <f>F75-січень!F75</f>
        <v>0</v>
      </c>
      <c r="V75" s="110">
        <f>G75-січень!G75</f>
        <v>0</v>
      </c>
      <c r="W75" s="111">
        <f t="shared" si="24"/>
        <v>0</v>
      </c>
      <c r="X75" s="155" t="e">
        <f t="shared" si="29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3"/>
        <v>0</v>
      </c>
      <c r="I76" s="213" t="e">
        <f>G76/F76</f>
        <v>#DIV/0!</v>
      </c>
      <c r="J76" s="115">
        <f t="shared" si="25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8"/>
        <v>0</v>
      </c>
      <c r="U76" s="107">
        <f>F76-січень!F76</f>
        <v>0</v>
      </c>
      <c r="V76" s="110">
        <f>G76-січень!G76</f>
        <v>0</v>
      </c>
      <c r="W76" s="111">
        <f t="shared" si="24"/>
        <v>0</v>
      </c>
      <c r="X76" s="155" t="e">
        <f t="shared" si="29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6.67</v>
      </c>
      <c r="G77" s="106">
        <v>4.74</v>
      </c>
      <c r="H77" s="102">
        <f t="shared" si="23"/>
        <v>-1.9299999999999997</v>
      </c>
      <c r="I77" s="213">
        <f>G77/F77</f>
        <v>0.7106446776611695</v>
      </c>
      <c r="J77" s="115">
        <f t="shared" si="25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8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4"/>
        <v>-1.9299999999999997</v>
      </c>
      <c r="X77" s="155">
        <f t="shared" si="29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0.11</v>
      </c>
      <c r="H78" s="102">
        <f t="shared" si="23"/>
        <v>0.11</v>
      </c>
      <c r="I78" s="213" t="e">
        <f>G78/F78</f>
        <v>#DIV/0!</v>
      </c>
      <c r="J78" s="115">
        <f t="shared" si="25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8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4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 t="shared" si="16"/>
        <v>0.05902212219026426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0" ref="S86:S98">G86-R86</f>
        <v>0.01</v>
      </c>
      <c r="T86" s="151" t="e">
        <f aca="true" t="shared" si="31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2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3" ref="P87:P98">E87-O87</f>
        <v>-35.57</v>
      </c>
      <c r="Q87" s="151">
        <f aca="true" t="shared" si="34" ref="Q87:Q98">E87/O87</f>
        <v>0</v>
      </c>
      <c r="R87" s="131">
        <v>11.81</v>
      </c>
      <c r="S87" s="131">
        <f t="shared" si="30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5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806.44</v>
      </c>
      <c r="H88" s="112">
        <f t="shared" si="32"/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 t="shared" si="33"/>
        <v>4061.86</v>
      </c>
      <c r="Q88" s="147">
        <f t="shared" si="34"/>
        <v>5.329694928262306</v>
      </c>
      <c r="R88" s="117">
        <v>0.04</v>
      </c>
      <c r="S88" s="117">
        <f t="shared" si="30"/>
        <v>806.4000000000001</v>
      </c>
      <c r="T88" s="147">
        <f t="shared" si="31"/>
        <v>20161</v>
      </c>
      <c r="U88" s="112">
        <f>F88-січень!F88</f>
        <v>0</v>
      </c>
      <c r="V88" s="118">
        <f>G88-січень!G88</f>
        <v>0.010000000000104592</v>
      </c>
      <c r="W88" s="117">
        <f t="shared" si="35"/>
        <v>0.010000000000104592</v>
      </c>
      <c r="X88" s="147" t="e">
        <f>V88/U88</f>
        <v>#DIV/0!</v>
      </c>
      <c r="Y88" s="197">
        <f t="shared" si="16"/>
        <v>20155.670305071737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1015</v>
      </c>
      <c r="G89" s="126">
        <v>194.45</v>
      </c>
      <c r="H89" s="112">
        <f t="shared" si="32"/>
        <v>-820.55</v>
      </c>
      <c r="I89" s="213">
        <f>G89/F89</f>
        <v>0.19157635467980294</v>
      </c>
      <c r="J89" s="117">
        <f aca="true" t="shared" si="36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3"/>
        <v>8305.35</v>
      </c>
      <c r="Q89" s="147">
        <f t="shared" si="34"/>
        <v>2.0198559613932328</v>
      </c>
      <c r="R89" s="117">
        <v>1.9</v>
      </c>
      <c r="S89" s="117">
        <f t="shared" si="30"/>
        <v>192.54999999999998</v>
      </c>
      <c r="T89" s="147">
        <f t="shared" si="31"/>
        <v>102.34210526315789</v>
      </c>
      <c r="U89" s="112">
        <f>F89-січень!F89</f>
        <v>1000</v>
      </c>
      <c r="V89" s="118">
        <f>G89-січень!G89</f>
        <v>179.45</v>
      </c>
      <c r="W89" s="117">
        <f t="shared" si="35"/>
        <v>-820.55</v>
      </c>
      <c r="X89" s="147">
        <f>V89/U89</f>
        <v>0.17945</v>
      </c>
      <c r="Y89" s="197">
        <f t="shared" si="16"/>
        <v>100.32224930176466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3000</v>
      </c>
      <c r="G90" s="126">
        <v>331.15</v>
      </c>
      <c r="H90" s="112">
        <f t="shared" si="32"/>
        <v>-2668.85</v>
      </c>
      <c r="I90" s="213">
        <f>G90/F90</f>
        <v>0.11038333333333332</v>
      </c>
      <c r="J90" s="117">
        <f t="shared" si="36"/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 t="shared" si="33"/>
        <v>4694.119999999999</v>
      </c>
      <c r="Q90" s="147">
        <f t="shared" si="34"/>
        <v>1.2712442245063527</v>
      </c>
      <c r="R90" s="117">
        <v>90.12</v>
      </c>
      <c r="S90" s="117">
        <f t="shared" si="30"/>
        <v>241.02999999999997</v>
      </c>
      <c r="T90" s="147">
        <f t="shared" si="31"/>
        <v>3.674545051043053</v>
      </c>
      <c r="U90" s="112">
        <f>F90-січень!F90</f>
        <v>2843</v>
      </c>
      <c r="V90" s="118">
        <f>G90-січень!G90</f>
        <v>174.14</v>
      </c>
      <c r="W90" s="117">
        <f t="shared" si="35"/>
        <v>-2668.86</v>
      </c>
      <c r="X90" s="147">
        <f>V90/U90</f>
        <v>0.06125219838199085</v>
      </c>
      <c r="Y90" s="197">
        <f t="shared" si="16"/>
        <v>2.4033008265367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4</v>
      </c>
      <c r="G91" s="126">
        <v>2</v>
      </c>
      <c r="H91" s="112">
        <f t="shared" si="32"/>
        <v>-2</v>
      </c>
      <c r="I91" s="213">
        <f>G91/F91</f>
        <v>0.5</v>
      </c>
      <c r="J91" s="117">
        <f t="shared" si="36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3"/>
        <v>4</v>
      </c>
      <c r="Q91" s="147">
        <f t="shared" si="34"/>
        <v>1.2</v>
      </c>
      <c r="R91" s="117">
        <v>1</v>
      </c>
      <c r="S91" s="117">
        <f t="shared" si="30"/>
        <v>1</v>
      </c>
      <c r="T91" s="147">
        <f t="shared" si="31"/>
        <v>2</v>
      </c>
      <c r="U91" s="112">
        <f>F91-січень!F91</f>
        <v>3</v>
      </c>
      <c r="V91" s="118">
        <f>G91-січень!G91</f>
        <v>1</v>
      </c>
      <c r="W91" s="117">
        <f t="shared" si="35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 t="shared" si="32"/>
        <v>-3491.389</v>
      </c>
      <c r="I92" s="216">
        <f>G92/F92</f>
        <v>0.27646039346967904</v>
      </c>
      <c r="J92" s="131">
        <f t="shared" si="36"/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 t="shared" si="33"/>
        <v>17065.34</v>
      </c>
      <c r="Q92" s="151">
        <f t="shared" si="34"/>
        <v>1.6462268902280626</v>
      </c>
      <c r="R92" s="131">
        <v>93.06</v>
      </c>
      <c r="S92" s="117">
        <f t="shared" si="30"/>
        <v>1240.98</v>
      </c>
      <c r="T92" s="147">
        <f t="shared" si="31"/>
        <v>14.335267569310123</v>
      </c>
      <c r="U92" s="129">
        <f>F92-січень!F92</f>
        <v>3846</v>
      </c>
      <c r="V92" s="174">
        <f>G92-січень!G92</f>
        <v>354.6</v>
      </c>
      <c r="W92" s="131">
        <f t="shared" si="35"/>
        <v>-3491.4</v>
      </c>
      <c r="X92" s="151">
        <f>V92/U92</f>
        <v>0.09219968798751951</v>
      </c>
      <c r="Y92" s="197">
        <f t="shared" si="16"/>
        <v>12.68904067908206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3</v>
      </c>
      <c r="G93" s="126">
        <v>0.02</v>
      </c>
      <c r="H93" s="112">
        <f t="shared" si="32"/>
        <v>-2.98</v>
      </c>
      <c r="I93" s="213"/>
      <c r="J93" s="117">
        <f t="shared" si="36"/>
        <v>-42.98</v>
      </c>
      <c r="K93" s="147"/>
      <c r="L93" s="117"/>
      <c r="M93" s="117"/>
      <c r="N93" s="117"/>
      <c r="O93" s="117">
        <v>49.17</v>
      </c>
      <c r="P93" s="117">
        <f t="shared" si="33"/>
        <v>-6.170000000000002</v>
      </c>
      <c r="Q93" s="147">
        <f t="shared" si="34"/>
        <v>0.8745169818995322</v>
      </c>
      <c r="R93" s="117">
        <v>0</v>
      </c>
      <c r="S93" s="117">
        <f t="shared" si="30"/>
        <v>0.02</v>
      </c>
      <c r="T93" s="147" t="e">
        <f t="shared" si="31"/>
        <v>#DIV/0!</v>
      </c>
      <c r="U93" s="112">
        <f>F93-січень!F93</f>
        <v>3</v>
      </c>
      <c r="V93" s="118">
        <f>G93-січень!G93</f>
        <v>0.01</v>
      </c>
      <c r="W93" s="117">
        <f t="shared" si="35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2"/>
        <v>0</v>
      </c>
      <c r="I94" s="213"/>
      <c r="J94" s="117">
        <f t="shared" si="36"/>
        <v>0</v>
      </c>
      <c r="K94" s="224"/>
      <c r="L94" s="134"/>
      <c r="M94" s="134"/>
      <c r="N94" s="134"/>
      <c r="O94" s="134"/>
      <c r="P94" s="117">
        <f t="shared" si="33"/>
        <v>0</v>
      </c>
      <c r="Q94" s="147" t="e">
        <f t="shared" si="34"/>
        <v>#DIV/0!</v>
      </c>
      <c r="R94" s="117">
        <f>O94</f>
        <v>0</v>
      </c>
      <c r="S94" s="117">
        <f t="shared" si="30"/>
        <v>0</v>
      </c>
      <c r="T94" s="147" t="e">
        <f t="shared" si="31"/>
        <v>#DIV/0!</v>
      </c>
      <c r="U94" s="112">
        <f>F94-січень!F94</f>
        <v>0</v>
      </c>
      <c r="V94" s="118">
        <f>G94-січень!G94</f>
        <v>0</v>
      </c>
      <c r="W94" s="117">
        <f t="shared" si="35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2818.75</v>
      </c>
      <c r="G95" s="126">
        <v>2378.24</v>
      </c>
      <c r="H95" s="112">
        <f t="shared" si="32"/>
        <v>-440.5100000000002</v>
      </c>
      <c r="I95" s="213">
        <f>G95/F95</f>
        <v>0.8437215077605321</v>
      </c>
      <c r="J95" s="117">
        <f t="shared" si="36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3"/>
        <v>1016.0600000000004</v>
      </c>
      <c r="Q95" s="147">
        <f t="shared" si="34"/>
        <v>1.1264709470073215</v>
      </c>
      <c r="R95" s="117">
        <v>11.48</v>
      </c>
      <c r="S95" s="117">
        <f t="shared" si="30"/>
        <v>2366.7599999999998</v>
      </c>
      <c r="T95" s="147">
        <f t="shared" si="31"/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 t="shared" si="35"/>
        <v>-441.0000000000002</v>
      </c>
      <c r="X95" s="147">
        <f>V95/U95</f>
        <v>0.812818336162988</v>
      </c>
      <c r="Y95" s="197">
        <f t="shared" si="16"/>
        <v>206.03729211919472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2"/>
        <v>0</v>
      </c>
      <c r="I96" s="213"/>
      <c r="J96" s="117">
        <f t="shared" si="36"/>
        <v>0</v>
      </c>
      <c r="K96" s="147"/>
      <c r="L96" s="117"/>
      <c r="M96" s="117"/>
      <c r="N96" s="117"/>
      <c r="O96" s="117">
        <v>0.1</v>
      </c>
      <c r="P96" s="117">
        <f t="shared" si="33"/>
        <v>-0.1</v>
      </c>
      <c r="Q96" s="147">
        <f t="shared" si="34"/>
        <v>0</v>
      </c>
      <c r="R96" s="117">
        <v>0</v>
      </c>
      <c r="S96" s="117">
        <f t="shared" si="30"/>
        <v>0</v>
      </c>
      <c r="T96" s="147" t="e">
        <f t="shared" si="31"/>
        <v>#DIV/0!</v>
      </c>
      <c r="U96" s="112">
        <f>F96-січень!F96</f>
        <v>0</v>
      </c>
      <c r="V96" s="118">
        <f>G96-січень!G96</f>
        <v>0</v>
      </c>
      <c r="W96" s="117">
        <f t="shared" si="35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 t="shared" si="32"/>
        <v>-443.49000000000024</v>
      </c>
      <c r="I97" s="216">
        <f>G97/F97</f>
        <v>0.8428315761495525</v>
      </c>
      <c r="J97" s="131">
        <f t="shared" si="36"/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 t="shared" si="33"/>
        <v>1009.79</v>
      </c>
      <c r="Q97" s="151">
        <f t="shared" si="34"/>
        <v>1.1249243802895137</v>
      </c>
      <c r="R97" s="131">
        <v>11.82</v>
      </c>
      <c r="S97" s="117">
        <f t="shared" si="30"/>
        <v>2366.4399999999996</v>
      </c>
      <c r="T97" s="147">
        <f t="shared" si="31"/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 t="shared" si="35"/>
        <v>-443.99000000000024</v>
      </c>
      <c r="X97" s="151">
        <f>V97/U97</f>
        <v>0.8117888935989825</v>
      </c>
      <c r="Y97" s="197">
        <f t="shared" si="16"/>
        <v>200.08150539974432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3.46</v>
      </c>
      <c r="G98" s="126">
        <v>3.78</v>
      </c>
      <c r="H98" s="112">
        <f t="shared" si="32"/>
        <v>0.31999999999999984</v>
      </c>
      <c r="I98" s="213">
        <f>G98/F98</f>
        <v>1.092485549132948</v>
      </c>
      <c r="J98" s="117">
        <f t="shared" si="36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3"/>
        <v>-18.547</v>
      </c>
      <c r="Q98" s="147">
        <f t="shared" si="34"/>
        <v>0.5114067439409905</v>
      </c>
      <c r="R98" s="131">
        <v>0.34</v>
      </c>
      <c r="S98" s="117">
        <f t="shared" si="30"/>
        <v>3.44</v>
      </c>
      <c r="T98" s="147">
        <f t="shared" si="31"/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 t="shared" si="35"/>
        <v>0.3155800000000002</v>
      </c>
      <c r="X98" s="147">
        <f>V98/U98</f>
        <v>1.1788576416046068</v>
      </c>
      <c r="Y98" s="197">
        <f t="shared" si="16"/>
        <v>10.606240314882537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1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 t="shared" si="31"/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 t="shared" si="31"/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 hidden="1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 hidden="1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 hidden="1">
      <c r="B104" s="260" t="s">
        <v>145</v>
      </c>
      <c r="C104" s="261"/>
      <c r="D104" s="4" t="s">
        <v>24</v>
      </c>
      <c r="F104" s="78"/>
      <c r="G104" s="261">
        <f>IF(H79&lt;0,ABS(H79/C103),0)</f>
        <v>0</v>
      </c>
      <c r="H104" s="262"/>
      <c r="I104" s="262"/>
      <c r="J104" s="262"/>
      <c r="V104" s="261">
        <f>IF(W79&lt;0,ABS(W79/C103),0)</f>
        <v>0</v>
      </c>
    </row>
    <row r="105" spans="2:7" ht="30.75" hidden="1">
      <c r="B105" s="263" t="s">
        <v>146</v>
      </c>
      <c r="C105" s="264">
        <v>43159</v>
      </c>
      <c r="D105" s="261"/>
      <c r="E105" s="261">
        <v>14510.3</v>
      </c>
      <c r="F105" s="78"/>
      <c r="G105" s="4" t="s">
        <v>147</v>
      </c>
    </row>
    <row r="106" spans="3:10" ht="15" hidden="1">
      <c r="C106" s="264">
        <v>43158</v>
      </c>
      <c r="D106" s="261"/>
      <c r="E106" s="261">
        <v>11132</v>
      </c>
      <c r="F106" s="78"/>
      <c r="G106" s="278"/>
      <c r="H106" s="278"/>
      <c r="I106" s="265"/>
      <c r="J106" s="266"/>
    </row>
    <row r="107" spans="3:10" ht="15" hidden="1">
      <c r="C107" s="264">
        <v>43157</v>
      </c>
      <c r="D107" s="261"/>
      <c r="E107" s="261">
        <v>4296.6</v>
      </c>
      <c r="F107" s="78"/>
      <c r="G107" s="278"/>
      <c r="H107" s="278"/>
      <c r="I107" s="265"/>
      <c r="J107" s="267"/>
    </row>
    <row r="108" spans="3:10" ht="15" hidden="1">
      <c r="C108" s="264"/>
      <c r="D108" s="4"/>
      <c r="F108" s="268"/>
      <c r="G108" s="279"/>
      <c r="H108" s="279"/>
      <c r="I108" s="269"/>
      <c r="J108" s="266"/>
    </row>
    <row r="109" spans="2:10" ht="16.5" hidden="1">
      <c r="B109" s="280" t="s">
        <v>148</v>
      </c>
      <c r="C109" s="281"/>
      <c r="D109" s="270"/>
      <c r="E109" s="273">
        <v>144.8304</v>
      </c>
      <c r="F109" s="271" t="s">
        <v>149</v>
      </c>
      <c r="G109" s="278"/>
      <c r="H109" s="278"/>
      <c r="I109" s="272"/>
      <c r="J109" s="266"/>
    </row>
  </sheetData>
  <sheetProtection/>
  <mergeCells count="27"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</mergeCells>
  <printOptions/>
  <pageMargins left="0.31496062992125984" right="0" top="0" bottom="0" header="0" footer="0"/>
  <pageSetup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9"/>
  <sheetViews>
    <sheetView zoomScale="69" zoomScaleNormal="69" zoomScalePageLayoutView="0" workbookViewId="0" topLeftCell="B1">
      <pane xSplit="2" ySplit="8" topLeftCell="D10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15" sqref="B11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3.125" style="4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300" t="s">
        <v>128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186"/>
    </row>
    <row r="2" spans="2:25" s="1" customFormat="1" ht="15.75" customHeight="1">
      <c r="B2" s="301"/>
      <c r="C2" s="301"/>
      <c r="D2" s="301"/>
      <c r="E2" s="301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02"/>
      <c r="B3" s="304"/>
      <c r="C3" s="305" t="s">
        <v>0</v>
      </c>
      <c r="D3" s="312" t="s">
        <v>131</v>
      </c>
      <c r="E3" s="306" t="s">
        <v>131</v>
      </c>
      <c r="F3" s="25"/>
      <c r="G3" s="307" t="s">
        <v>26</v>
      </c>
      <c r="H3" s="308"/>
      <c r="I3" s="308"/>
      <c r="J3" s="308"/>
      <c r="K3" s="309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10" t="s">
        <v>140</v>
      </c>
      <c r="V3" s="311" t="s">
        <v>124</v>
      </c>
      <c r="W3" s="311"/>
      <c r="X3" s="311"/>
      <c r="Y3" s="194"/>
    </row>
    <row r="4" spans="1:24" ht="22.5" customHeight="1">
      <c r="A4" s="302"/>
      <c r="B4" s="304"/>
      <c r="C4" s="305"/>
      <c r="D4" s="313"/>
      <c r="E4" s="306"/>
      <c r="F4" s="294" t="s">
        <v>138</v>
      </c>
      <c r="G4" s="296" t="s">
        <v>31</v>
      </c>
      <c r="H4" s="284" t="s">
        <v>122</v>
      </c>
      <c r="I4" s="298" t="s">
        <v>123</v>
      </c>
      <c r="J4" s="284" t="s">
        <v>132</v>
      </c>
      <c r="K4" s="298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98"/>
      <c r="V4" s="282" t="s">
        <v>137</v>
      </c>
      <c r="W4" s="284" t="s">
        <v>44</v>
      </c>
      <c r="X4" s="286" t="s">
        <v>43</v>
      </c>
    </row>
    <row r="5" spans="1:24" ht="67.5" customHeight="1">
      <c r="A5" s="303"/>
      <c r="B5" s="304"/>
      <c r="C5" s="305"/>
      <c r="D5" s="314"/>
      <c r="E5" s="306"/>
      <c r="F5" s="295"/>
      <c r="G5" s="297"/>
      <c r="H5" s="285"/>
      <c r="I5" s="299"/>
      <c r="J5" s="285"/>
      <c r="K5" s="299"/>
      <c r="L5" s="287" t="s">
        <v>109</v>
      </c>
      <c r="M5" s="288"/>
      <c r="N5" s="289"/>
      <c r="O5" s="315" t="s">
        <v>125</v>
      </c>
      <c r="P5" s="316"/>
      <c r="Q5" s="317"/>
      <c r="R5" s="293" t="s">
        <v>127</v>
      </c>
      <c r="S5" s="293"/>
      <c r="T5" s="293"/>
      <c r="U5" s="299"/>
      <c r="V5" s="283"/>
      <c r="W5" s="285"/>
      <c r="X5" s="286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0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71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8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199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9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9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9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9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9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8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9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9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9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0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9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9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9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9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9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9">
        <f t="shared" si="8"/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9">
        <f t="shared" si="8"/>
        <v>0.05241810147991144</v>
      </c>
      <c r="AB24" s="227"/>
    </row>
    <row r="25" spans="1:26" s="6" customFormat="1" ht="18">
      <c r="A25" s="8"/>
      <c r="B25" s="41" t="s">
        <v>61</v>
      </c>
      <c r="C25" s="84"/>
      <c r="D25" s="251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9">
        <f t="shared" si="8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0" ref="X26:X41">V26/U26</f>
        <v>1</v>
      </c>
      <c r="Y26" s="199">
        <f t="shared" si="8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0"/>
        <v>1.0002006290836378</v>
      </c>
      <c r="Y27" s="199">
        <f t="shared" si="8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42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0"/>
        <v>1</v>
      </c>
      <c r="Y28" s="199">
        <f t="shared" si="8"/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42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0"/>
        <v>1</v>
      </c>
      <c r="Y29" s="199">
        <f t="shared" si="8"/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42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0"/>
        <v>1.0032132528830018</v>
      </c>
      <c r="Y30" s="199">
        <f t="shared" si="8"/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42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0"/>
        <v>1</v>
      </c>
      <c r="Y31" s="199">
        <f t="shared" si="8"/>
        <v>-0.0065047225321446245</v>
      </c>
    </row>
    <row r="32" spans="1:25" s="6" customFormat="1" ht="18">
      <c r="A32" s="8"/>
      <c r="B32" s="41" t="s">
        <v>62</v>
      </c>
      <c r="C32" s="84"/>
      <c r="D32" s="231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0"/>
        <v>1</v>
      </c>
      <c r="Y32" s="199">
        <f t="shared" si="8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229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0"/>
        <v>1</v>
      </c>
      <c r="Y33" s="199" t="e">
        <f t="shared" si="8"/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229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0"/>
        <v>1</v>
      </c>
      <c r="Y34" s="199">
        <f t="shared" si="8"/>
        <v>2.0298193168688514</v>
      </c>
    </row>
    <row r="35" spans="1:25" s="6" customFormat="1" ht="18">
      <c r="A35" s="8"/>
      <c r="B35" s="41" t="s">
        <v>63</v>
      </c>
      <c r="C35" s="84"/>
      <c r="D35" s="231">
        <f>D36+D37</f>
        <v>187776</v>
      </c>
      <c r="E35" s="257">
        <f>E36+E37</f>
        <v>187776</v>
      </c>
      <c r="F35" s="257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0"/>
        <v>1.0000014977369196</v>
      </c>
      <c r="Y35" s="199">
        <f t="shared" si="8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21" ref="E36:G37">E38+E40</f>
        <v>60690</v>
      </c>
      <c r="F36" s="139">
        <f t="shared" si="21"/>
        <v>4067.23</v>
      </c>
      <c r="G36" s="139">
        <f t="shared" si="21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0"/>
        <v>1.0000024586758063</v>
      </c>
      <c r="Y36" s="199">
        <f t="shared" si="8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21"/>
        <v>127086</v>
      </c>
      <c r="F37" s="139">
        <f t="shared" si="21"/>
        <v>9286.25</v>
      </c>
      <c r="G37" s="139">
        <f t="shared" si="21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0"/>
        <v>1.0000010768609504</v>
      </c>
      <c r="Y37" s="199">
        <f t="shared" si="8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42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0"/>
        <v>1.0000025097881737</v>
      </c>
      <c r="Y38" s="199">
        <f t="shared" si="8"/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42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0"/>
        <v>1</v>
      </c>
      <c r="Y39" s="199">
        <f t="shared" si="8"/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42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0"/>
        <v>1</v>
      </c>
      <c r="Y40" s="199">
        <f t="shared" si="8"/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42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0"/>
        <v>1.0000066988210075</v>
      </c>
      <c r="Y41" s="199">
        <f t="shared" si="8"/>
        <v>0.01493064781102893</v>
      </c>
    </row>
    <row r="42" spans="1:25" s="6" customFormat="1" ht="18" hidden="1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9">
        <f t="shared" si="8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2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9">
        <f t="shared" si="8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2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9">
        <f t="shared" si="8"/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2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9">
        <f t="shared" si="8"/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2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9">
        <f t="shared" si="8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2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9">
        <f t="shared" si="8"/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2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9">
        <f t="shared" si="8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2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9">
        <f t="shared" si="8"/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2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9">
        <f t="shared" si="8"/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2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9">
        <f t="shared" si="8"/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9">
        <f t="shared" si="8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3" ref="I53:I72">G53/F53</f>
        <v>0.9999999999999999</v>
      </c>
      <c r="J53" s="104">
        <f>G53-E53</f>
        <v>-44001.14</v>
      </c>
      <c r="K53" s="156">
        <f aca="true" t="shared" si="24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 t="shared" si="8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1.11</v>
      </c>
      <c r="G54" s="106">
        <v>1.11</v>
      </c>
      <c r="H54" s="102">
        <f aca="true" t="shared" si="25" ref="H54:H78">G54-F54</f>
        <v>0</v>
      </c>
      <c r="I54" s="213">
        <f t="shared" si="23"/>
        <v>1</v>
      </c>
      <c r="J54" s="115">
        <f>G54-E54</f>
        <v>-2648.89</v>
      </c>
      <c r="K54" s="155">
        <f t="shared" si="24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6" ref="W54:W78">V54-U54</f>
        <v>0</v>
      </c>
      <c r="X54" s="155">
        <f>V54/U54</f>
        <v>1</v>
      </c>
      <c r="Y54" s="199">
        <f t="shared" si="8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0</v>
      </c>
      <c r="G55" s="106">
        <v>0</v>
      </c>
      <c r="H55" s="102">
        <f t="shared" si="25"/>
        <v>0</v>
      </c>
      <c r="I55" s="213" t="e">
        <f t="shared" si="23"/>
        <v>#DIV/0!</v>
      </c>
      <c r="J55" s="115">
        <f aca="true" t="shared" si="27" ref="J55:J78">G55-E55</f>
        <v>-5000</v>
      </c>
      <c r="K55" s="155">
        <f t="shared" si="24"/>
        <v>0</v>
      </c>
      <c r="L55" s="115"/>
      <c r="M55" s="115"/>
      <c r="N55" s="115"/>
      <c r="O55" s="115">
        <v>27997.6</v>
      </c>
      <c r="P55" s="115">
        <f aca="true" t="shared" si="28" ref="P55:P72">E55-O55</f>
        <v>-22997.6</v>
      </c>
      <c r="Q55" s="155">
        <f aca="true" t="shared" si="29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0" ref="T55:T78">G55/R55</f>
        <v>#DIV/0!</v>
      </c>
      <c r="U55" s="107">
        <f aca="true" t="shared" si="31" ref="U55:U66">F55</f>
        <v>0</v>
      </c>
      <c r="V55" s="110">
        <f aca="true" t="shared" si="32" ref="V55:V66">G55</f>
        <v>0</v>
      </c>
      <c r="W55" s="111">
        <f t="shared" si="26"/>
        <v>0</v>
      </c>
      <c r="X55" s="155" t="e">
        <f aca="true" t="shared" si="33" ref="X55:X77">V55/U55</f>
        <v>#DIV/0!</v>
      </c>
      <c r="Y55" s="199" t="e">
        <f t="shared" si="8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0</v>
      </c>
      <c r="G56" s="106">
        <v>0</v>
      </c>
      <c r="H56" s="102">
        <f t="shared" si="25"/>
        <v>0</v>
      </c>
      <c r="I56" s="213" t="e">
        <f t="shared" si="23"/>
        <v>#DIV/0!</v>
      </c>
      <c r="J56" s="115">
        <f t="shared" si="27"/>
        <v>-158</v>
      </c>
      <c r="K56" s="155">
        <f t="shared" si="24"/>
        <v>0</v>
      </c>
      <c r="L56" s="115"/>
      <c r="M56" s="115"/>
      <c r="N56" s="115"/>
      <c r="O56" s="115">
        <v>153.3</v>
      </c>
      <c r="P56" s="115">
        <f t="shared" si="28"/>
        <v>4.699999999999989</v>
      </c>
      <c r="Q56" s="155">
        <f t="shared" si="29"/>
        <v>1.030658838878017</v>
      </c>
      <c r="R56" s="115">
        <v>14.87</v>
      </c>
      <c r="S56" s="115">
        <f t="shared" si="5"/>
        <v>-14.87</v>
      </c>
      <c r="T56" s="155">
        <f t="shared" si="30"/>
        <v>0</v>
      </c>
      <c r="U56" s="107">
        <f t="shared" si="31"/>
        <v>0</v>
      </c>
      <c r="V56" s="110">
        <f t="shared" si="32"/>
        <v>0</v>
      </c>
      <c r="W56" s="111">
        <f t="shared" si="26"/>
        <v>0</v>
      </c>
      <c r="X56" s="155" t="e">
        <f t="shared" si="33"/>
        <v>#DIV/0!</v>
      </c>
      <c r="Y56" s="199">
        <f t="shared" si="8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2</v>
      </c>
      <c r="G57" s="106">
        <v>2.02</v>
      </c>
      <c r="H57" s="102">
        <f t="shared" si="25"/>
        <v>0.020000000000000018</v>
      </c>
      <c r="I57" s="213">
        <f t="shared" si="23"/>
        <v>1.01</v>
      </c>
      <c r="J57" s="115">
        <f t="shared" si="27"/>
        <v>-10.98</v>
      </c>
      <c r="K57" s="155">
        <f t="shared" si="24"/>
        <v>0.1553846153846154</v>
      </c>
      <c r="L57" s="115"/>
      <c r="M57" s="115"/>
      <c r="N57" s="115"/>
      <c r="O57" s="115">
        <v>12.95</v>
      </c>
      <c r="P57" s="115">
        <f t="shared" si="28"/>
        <v>0.05000000000000071</v>
      </c>
      <c r="Q57" s="225">
        <f t="shared" si="29"/>
        <v>1.0038610038610039</v>
      </c>
      <c r="R57" s="115">
        <v>0</v>
      </c>
      <c r="S57" s="115">
        <f t="shared" si="5"/>
        <v>2.02</v>
      </c>
      <c r="T57" s="155"/>
      <c r="U57" s="107">
        <f t="shared" si="31"/>
        <v>2</v>
      </c>
      <c r="V57" s="110">
        <f t="shared" si="32"/>
        <v>2.02</v>
      </c>
      <c r="W57" s="111">
        <f t="shared" si="26"/>
        <v>0.020000000000000018</v>
      </c>
      <c r="X57" s="155">
        <f t="shared" si="33"/>
        <v>1.01</v>
      </c>
      <c r="Y57" s="199">
        <f t="shared" si="8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28.43</v>
      </c>
      <c r="G58" s="106">
        <v>28.43</v>
      </c>
      <c r="H58" s="102">
        <f t="shared" si="25"/>
        <v>0</v>
      </c>
      <c r="I58" s="213">
        <f t="shared" si="23"/>
        <v>1</v>
      </c>
      <c r="J58" s="115">
        <f t="shared" si="27"/>
        <v>-715.57</v>
      </c>
      <c r="K58" s="155">
        <f t="shared" si="24"/>
        <v>0.03821236559139785</v>
      </c>
      <c r="L58" s="115"/>
      <c r="M58" s="115"/>
      <c r="N58" s="115"/>
      <c r="O58" s="115">
        <v>705.31</v>
      </c>
      <c r="P58" s="115">
        <f t="shared" si="28"/>
        <v>38.690000000000055</v>
      </c>
      <c r="Q58" s="155">
        <f t="shared" si="29"/>
        <v>1.0548553118486907</v>
      </c>
      <c r="R58" s="115">
        <v>11.17</v>
      </c>
      <c r="S58" s="115">
        <f t="shared" si="5"/>
        <v>17.259999999999998</v>
      </c>
      <c r="T58" s="155">
        <f t="shared" si="30"/>
        <v>2.5452103849597134</v>
      </c>
      <c r="U58" s="107">
        <f t="shared" si="31"/>
        <v>28.43</v>
      </c>
      <c r="V58" s="110">
        <f t="shared" si="32"/>
        <v>28.43</v>
      </c>
      <c r="W58" s="111">
        <f t="shared" si="26"/>
        <v>0</v>
      </c>
      <c r="X58" s="155">
        <f t="shared" si="33"/>
        <v>1</v>
      </c>
      <c r="Y58" s="199">
        <f t="shared" si="8"/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8">
        <v>115.5</v>
      </c>
      <c r="E59" s="102">
        <v>115.5</v>
      </c>
      <c r="F59" s="102">
        <v>0</v>
      </c>
      <c r="G59" s="106">
        <v>-6.55</v>
      </c>
      <c r="H59" s="102">
        <f t="shared" si="25"/>
        <v>-6.55</v>
      </c>
      <c r="I59" s="213" t="e">
        <f t="shared" si="23"/>
        <v>#DIV/0!</v>
      </c>
      <c r="J59" s="115">
        <f t="shared" si="27"/>
        <v>-122.05</v>
      </c>
      <c r="K59" s="155">
        <f t="shared" si="24"/>
        <v>-0.05670995670995671</v>
      </c>
      <c r="L59" s="115"/>
      <c r="M59" s="115"/>
      <c r="N59" s="115"/>
      <c r="O59" s="115">
        <v>114.3</v>
      </c>
      <c r="P59" s="115">
        <f t="shared" si="28"/>
        <v>1.2000000000000028</v>
      </c>
      <c r="Q59" s="155">
        <f t="shared" si="29"/>
        <v>1.010498687664042</v>
      </c>
      <c r="R59" s="115">
        <v>0</v>
      </c>
      <c r="S59" s="115">
        <f t="shared" si="5"/>
        <v>-6.55</v>
      </c>
      <c r="T59" s="155" t="e">
        <f t="shared" si="30"/>
        <v>#DIV/0!</v>
      </c>
      <c r="U59" s="107">
        <f t="shared" si="31"/>
        <v>0</v>
      </c>
      <c r="V59" s="110">
        <f t="shared" si="32"/>
        <v>-6.55</v>
      </c>
      <c r="W59" s="111">
        <f t="shared" si="26"/>
        <v>-6.55</v>
      </c>
      <c r="X59" s="155" t="e">
        <f t="shared" si="33"/>
        <v>#DIV/0!</v>
      </c>
      <c r="Y59" s="199" t="e">
        <f t="shared" si="8"/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49">
        <v>1284</v>
      </c>
      <c r="E60" s="102">
        <v>1284</v>
      </c>
      <c r="F60" s="102">
        <v>89.19</v>
      </c>
      <c r="G60" s="106">
        <v>89.19</v>
      </c>
      <c r="H60" s="102">
        <f t="shared" si="25"/>
        <v>0</v>
      </c>
      <c r="I60" s="213">
        <f t="shared" si="23"/>
        <v>1</v>
      </c>
      <c r="J60" s="115">
        <f t="shared" si="27"/>
        <v>-1194.81</v>
      </c>
      <c r="K60" s="155">
        <f t="shared" si="24"/>
        <v>0.0694626168224299</v>
      </c>
      <c r="L60" s="115"/>
      <c r="M60" s="115"/>
      <c r="N60" s="115"/>
      <c r="O60" s="115">
        <v>1205.14</v>
      </c>
      <c r="P60" s="115">
        <f t="shared" si="28"/>
        <v>78.8599999999999</v>
      </c>
      <c r="Q60" s="155">
        <f t="shared" si="29"/>
        <v>1.0654363808354215</v>
      </c>
      <c r="R60" s="115">
        <v>89.45</v>
      </c>
      <c r="S60" s="115">
        <f t="shared" si="5"/>
        <v>-0.2600000000000051</v>
      </c>
      <c r="T60" s="155">
        <f t="shared" si="30"/>
        <v>0.9970933482392398</v>
      </c>
      <c r="U60" s="107">
        <f t="shared" si="31"/>
        <v>89.19</v>
      </c>
      <c r="V60" s="110">
        <f t="shared" si="32"/>
        <v>89.19</v>
      </c>
      <c r="W60" s="111">
        <f t="shared" si="26"/>
        <v>0</v>
      </c>
      <c r="X60" s="155">
        <f t="shared" si="33"/>
        <v>1</v>
      </c>
      <c r="Y60" s="199">
        <f t="shared" si="8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5"/>
      <c r="E61" s="102"/>
      <c r="F61" s="102">
        <v>0</v>
      </c>
      <c r="G61" s="106">
        <v>0</v>
      </c>
      <c r="H61" s="102">
        <f t="shared" si="25"/>
        <v>0</v>
      </c>
      <c r="I61" s="213" t="e">
        <f t="shared" si="23"/>
        <v>#DIV/0!</v>
      </c>
      <c r="J61" s="115">
        <f t="shared" si="27"/>
        <v>0</v>
      </c>
      <c r="K61" s="155" t="e">
        <f t="shared" si="24"/>
        <v>#DIV/0!</v>
      </c>
      <c r="L61" s="115"/>
      <c r="M61" s="115"/>
      <c r="N61" s="115"/>
      <c r="O61" s="115">
        <v>23.38</v>
      </c>
      <c r="P61" s="115">
        <f t="shared" si="28"/>
        <v>-23.38</v>
      </c>
      <c r="Q61" s="155">
        <f t="shared" si="29"/>
        <v>0</v>
      </c>
      <c r="R61" s="115">
        <v>0</v>
      </c>
      <c r="S61" s="115">
        <f t="shared" si="5"/>
        <v>0</v>
      </c>
      <c r="T61" s="155"/>
      <c r="U61" s="107">
        <f t="shared" si="31"/>
        <v>0</v>
      </c>
      <c r="V61" s="110">
        <f t="shared" si="32"/>
        <v>0</v>
      </c>
      <c r="W61" s="111">
        <f t="shared" si="26"/>
        <v>0</v>
      </c>
      <c r="X61" s="155" t="e">
        <f t="shared" si="33"/>
        <v>#DIV/0!</v>
      </c>
      <c r="Y61" s="199">
        <f t="shared" si="8"/>
        <v>0</v>
      </c>
    </row>
    <row r="62" spans="1:25" s="6" customFormat="1" ht="18">
      <c r="A62" s="8"/>
      <c r="B62" s="193" t="s">
        <v>65</v>
      </c>
      <c r="C62" s="57">
        <v>22012500</v>
      </c>
      <c r="D62" s="248">
        <v>21260</v>
      </c>
      <c r="E62" s="102">
        <v>21260</v>
      </c>
      <c r="F62" s="102">
        <v>1890</v>
      </c>
      <c r="G62" s="106">
        <v>1894.1</v>
      </c>
      <c r="H62" s="102">
        <f t="shared" si="25"/>
        <v>4.099999999999909</v>
      </c>
      <c r="I62" s="213">
        <f t="shared" si="23"/>
        <v>1.002169312169312</v>
      </c>
      <c r="J62" s="115">
        <f t="shared" si="27"/>
        <v>-19365.9</v>
      </c>
      <c r="K62" s="155">
        <f t="shared" si="24"/>
        <v>0.08909219190968955</v>
      </c>
      <c r="L62" s="115"/>
      <c r="M62" s="115"/>
      <c r="N62" s="115"/>
      <c r="O62" s="115">
        <v>20110.14</v>
      </c>
      <c r="P62" s="115">
        <f t="shared" si="28"/>
        <v>1149.8600000000006</v>
      </c>
      <c r="Q62" s="155">
        <f t="shared" si="29"/>
        <v>1.0571781200926498</v>
      </c>
      <c r="R62" s="115">
        <v>1052.56</v>
      </c>
      <c r="S62" s="115">
        <f t="shared" si="5"/>
        <v>841.54</v>
      </c>
      <c r="T62" s="155">
        <f t="shared" si="30"/>
        <v>1.7995173671809683</v>
      </c>
      <c r="U62" s="107">
        <f t="shared" si="31"/>
        <v>1890</v>
      </c>
      <c r="V62" s="110">
        <f t="shared" si="32"/>
        <v>1894.1</v>
      </c>
      <c r="W62" s="111">
        <f t="shared" si="26"/>
        <v>4.099999999999909</v>
      </c>
      <c r="X62" s="155">
        <f t="shared" si="33"/>
        <v>1.002169312169312</v>
      </c>
      <c r="Y62" s="199">
        <f t="shared" si="8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8">
        <v>767</v>
      </c>
      <c r="E63" s="102">
        <v>767</v>
      </c>
      <c r="F63" s="102">
        <f>56.1+0.9</f>
        <v>57</v>
      </c>
      <c r="G63" s="106">
        <v>59.37</v>
      </c>
      <c r="H63" s="102">
        <f t="shared" si="25"/>
        <v>2.3699999999999974</v>
      </c>
      <c r="I63" s="213">
        <f t="shared" si="23"/>
        <v>1.041578947368421</v>
      </c>
      <c r="J63" s="115">
        <f t="shared" si="27"/>
        <v>-707.63</v>
      </c>
      <c r="K63" s="155">
        <f t="shared" si="24"/>
        <v>0.07740547588005214</v>
      </c>
      <c r="L63" s="115"/>
      <c r="M63" s="115"/>
      <c r="N63" s="115"/>
      <c r="O63" s="115">
        <v>710.04</v>
      </c>
      <c r="P63" s="115">
        <f t="shared" si="28"/>
        <v>56.960000000000036</v>
      </c>
      <c r="Q63" s="155">
        <f t="shared" si="29"/>
        <v>1.0802208326291478</v>
      </c>
      <c r="R63" s="115">
        <v>44.53</v>
      </c>
      <c r="S63" s="115">
        <f t="shared" si="5"/>
        <v>14.839999999999996</v>
      </c>
      <c r="T63" s="155">
        <f t="shared" si="30"/>
        <v>1.3332584774309453</v>
      </c>
      <c r="U63" s="107">
        <f t="shared" si="31"/>
        <v>57</v>
      </c>
      <c r="V63" s="110">
        <f t="shared" si="32"/>
        <v>59.37</v>
      </c>
      <c r="W63" s="111">
        <f t="shared" si="26"/>
        <v>2.3699999999999974</v>
      </c>
      <c r="X63" s="155">
        <f t="shared" si="33"/>
        <v>1.041578947368421</v>
      </c>
      <c r="Y63" s="199">
        <f t="shared" si="8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8">
        <v>44</v>
      </c>
      <c r="E64" s="102">
        <v>44</v>
      </c>
      <c r="F64" s="102">
        <v>1</v>
      </c>
      <c r="G64" s="106">
        <v>1.06</v>
      </c>
      <c r="H64" s="102">
        <f t="shared" si="25"/>
        <v>0.06000000000000005</v>
      </c>
      <c r="I64" s="213">
        <f t="shared" si="23"/>
        <v>1.06</v>
      </c>
      <c r="J64" s="115">
        <f t="shared" si="27"/>
        <v>-42.94</v>
      </c>
      <c r="K64" s="155">
        <f t="shared" si="24"/>
        <v>0.024090909090909093</v>
      </c>
      <c r="L64" s="115"/>
      <c r="M64" s="115"/>
      <c r="N64" s="115"/>
      <c r="O64" s="115">
        <v>41.44</v>
      </c>
      <c r="P64" s="115">
        <f t="shared" si="28"/>
        <v>2.5600000000000023</v>
      </c>
      <c r="Q64" s="155">
        <f t="shared" si="29"/>
        <v>1.0617760617760619</v>
      </c>
      <c r="R64" s="115">
        <v>0</v>
      </c>
      <c r="S64" s="115">
        <f t="shared" si="5"/>
        <v>1.06</v>
      </c>
      <c r="T64" s="155" t="e">
        <f t="shared" si="30"/>
        <v>#DIV/0!</v>
      </c>
      <c r="U64" s="107">
        <f t="shared" si="31"/>
        <v>1</v>
      </c>
      <c r="V64" s="110">
        <f t="shared" si="32"/>
        <v>1.06</v>
      </c>
      <c r="W64" s="111">
        <f t="shared" si="26"/>
        <v>0.06000000000000005</v>
      </c>
      <c r="X64" s="155">
        <f t="shared" si="33"/>
        <v>1.06</v>
      </c>
      <c r="Y64" s="199" t="e">
        <f t="shared" si="8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564.14</v>
      </c>
      <c r="G65" s="106">
        <v>564.14</v>
      </c>
      <c r="H65" s="102">
        <f t="shared" si="25"/>
        <v>0</v>
      </c>
      <c r="I65" s="213">
        <f t="shared" si="23"/>
        <v>1</v>
      </c>
      <c r="J65" s="115">
        <f t="shared" si="27"/>
        <v>-5435.86</v>
      </c>
      <c r="K65" s="155">
        <f t="shared" si="24"/>
        <v>0.09402333333333333</v>
      </c>
      <c r="L65" s="115"/>
      <c r="M65" s="115"/>
      <c r="N65" s="115"/>
      <c r="O65" s="115">
        <v>6545.96</v>
      </c>
      <c r="P65" s="115">
        <f t="shared" si="28"/>
        <v>-545.96</v>
      </c>
      <c r="Q65" s="155">
        <f t="shared" si="29"/>
        <v>0.9165958850955398</v>
      </c>
      <c r="R65" s="115">
        <v>684.99</v>
      </c>
      <c r="S65" s="115">
        <f t="shared" si="5"/>
        <v>-120.85000000000002</v>
      </c>
      <c r="T65" s="155">
        <f t="shared" si="30"/>
        <v>0.8235740667746974</v>
      </c>
      <c r="U65" s="107">
        <f t="shared" si="31"/>
        <v>564.14</v>
      </c>
      <c r="V65" s="110">
        <f t="shared" si="32"/>
        <v>564.14</v>
      </c>
      <c r="W65" s="111">
        <f t="shared" si="26"/>
        <v>0</v>
      </c>
      <c r="X65" s="155">
        <f t="shared" si="33"/>
        <v>1</v>
      </c>
      <c r="Y65" s="199">
        <f t="shared" si="8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5"/>
        <v>0</v>
      </c>
      <c r="I66" s="213">
        <f t="shared" si="23"/>
        <v>1</v>
      </c>
      <c r="J66" s="115">
        <f t="shared" si="27"/>
        <v>-819.76</v>
      </c>
      <c r="K66" s="155">
        <f t="shared" si="24"/>
        <v>0.05339491916859122</v>
      </c>
      <c r="L66" s="115"/>
      <c r="M66" s="115"/>
      <c r="N66" s="115"/>
      <c r="O66" s="115">
        <v>896.22</v>
      </c>
      <c r="P66" s="115">
        <f t="shared" si="28"/>
        <v>-30.220000000000027</v>
      </c>
      <c r="Q66" s="155">
        <f t="shared" si="29"/>
        <v>0.9662806007453527</v>
      </c>
      <c r="R66" s="115">
        <v>40.09</v>
      </c>
      <c r="S66" s="115">
        <f t="shared" si="5"/>
        <v>6.149999999999999</v>
      </c>
      <c r="T66" s="155">
        <f t="shared" si="30"/>
        <v>1.153404839111998</v>
      </c>
      <c r="U66" s="107">
        <f t="shared" si="31"/>
        <v>46.24</v>
      </c>
      <c r="V66" s="110">
        <f t="shared" si="32"/>
        <v>46.24</v>
      </c>
      <c r="W66" s="111">
        <f t="shared" si="26"/>
        <v>0</v>
      </c>
      <c r="X66" s="155">
        <f t="shared" si="33"/>
        <v>1</v>
      </c>
      <c r="Y66" s="199">
        <f t="shared" si="8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34.42</v>
      </c>
      <c r="G67" s="94">
        <v>34.42</v>
      </c>
      <c r="H67" s="71">
        <f t="shared" si="25"/>
        <v>0</v>
      </c>
      <c r="I67" s="209">
        <f t="shared" si="23"/>
        <v>1</v>
      </c>
      <c r="J67" s="72">
        <f t="shared" si="27"/>
        <v>-693.7800000000001</v>
      </c>
      <c r="K67" s="75">
        <f t="shared" si="24"/>
        <v>0.04726723427629772</v>
      </c>
      <c r="L67" s="72"/>
      <c r="M67" s="72"/>
      <c r="N67" s="72"/>
      <c r="O67" s="72">
        <v>760.62</v>
      </c>
      <c r="P67" s="72">
        <f t="shared" si="28"/>
        <v>-32.41999999999996</v>
      </c>
      <c r="Q67" s="75">
        <f t="shared" si="29"/>
        <v>0.957376876758434</v>
      </c>
      <c r="R67" s="72">
        <v>32.81</v>
      </c>
      <c r="S67" s="203">
        <f t="shared" si="5"/>
        <v>1.6099999999999994</v>
      </c>
      <c r="T67" s="204">
        <f t="shared" si="30"/>
        <v>1.0490704053642181</v>
      </c>
      <c r="U67" s="73">
        <f aca="true" t="shared" si="34" ref="U67:V71">F67</f>
        <v>34.42</v>
      </c>
      <c r="V67" s="98">
        <f t="shared" si="34"/>
        <v>34.42</v>
      </c>
      <c r="W67" s="74">
        <f t="shared" si="26"/>
        <v>0</v>
      </c>
      <c r="X67" s="75">
        <f t="shared" si="33"/>
        <v>1</v>
      </c>
      <c r="Y67" s="199">
        <f t="shared" si="8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</v>
      </c>
      <c r="H68" s="71">
        <f t="shared" si="25"/>
        <v>0</v>
      </c>
      <c r="I68" s="209" t="e">
        <f t="shared" si="23"/>
        <v>#DIV/0!</v>
      </c>
      <c r="J68" s="72">
        <f t="shared" si="27"/>
        <v>-1</v>
      </c>
      <c r="K68" s="75">
        <f t="shared" si="24"/>
        <v>0</v>
      </c>
      <c r="L68" s="72"/>
      <c r="M68" s="72"/>
      <c r="N68" s="72"/>
      <c r="O68" s="72">
        <v>0.18</v>
      </c>
      <c r="P68" s="72">
        <f t="shared" si="28"/>
        <v>0.8200000000000001</v>
      </c>
      <c r="Q68" s="75">
        <f t="shared" si="29"/>
        <v>5.555555555555555</v>
      </c>
      <c r="R68" s="72">
        <v>0.01</v>
      </c>
      <c r="S68" s="203">
        <f t="shared" si="5"/>
        <v>-0.01</v>
      </c>
      <c r="T68" s="204">
        <f t="shared" si="30"/>
        <v>0</v>
      </c>
      <c r="U68" s="73">
        <f t="shared" si="34"/>
        <v>0</v>
      </c>
      <c r="V68" s="98">
        <f t="shared" si="34"/>
        <v>0</v>
      </c>
      <c r="W68" s="74">
        <f t="shared" si="26"/>
        <v>0</v>
      </c>
      <c r="X68" s="75"/>
      <c r="Y68" s="199">
        <f t="shared" si="8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/>
      <c r="F69" s="71">
        <v>0</v>
      </c>
      <c r="G69" s="94">
        <v>0</v>
      </c>
      <c r="H69" s="71">
        <f t="shared" si="25"/>
        <v>0</v>
      </c>
      <c r="I69" s="209" t="e">
        <f t="shared" si="23"/>
        <v>#DIV/0!</v>
      </c>
      <c r="J69" s="72">
        <f t="shared" si="27"/>
        <v>0</v>
      </c>
      <c r="K69" s="75" t="e">
        <f t="shared" si="24"/>
        <v>#DIV/0!</v>
      </c>
      <c r="L69" s="72"/>
      <c r="M69" s="72"/>
      <c r="N69" s="72"/>
      <c r="O69" s="72">
        <v>0</v>
      </c>
      <c r="P69" s="72">
        <f t="shared" si="28"/>
        <v>0</v>
      </c>
      <c r="Q69" s="75" t="e">
        <f t="shared" si="29"/>
        <v>#DIV/0!</v>
      </c>
      <c r="R69" s="72">
        <f>O69</f>
        <v>0</v>
      </c>
      <c r="S69" s="203">
        <f t="shared" si="5"/>
        <v>0</v>
      </c>
      <c r="T69" s="204" t="e">
        <f t="shared" si="30"/>
        <v>#DIV/0!</v>
      </c>
      <c r="U69" s="73">
        <f t="shared" si="34"/>
        <v>0</v>
      </c>
      <c r="V69" s="98">
        <f t="shared" si="34"/>
        <v>0</v>
      </c>
      <c r="W69" s="74">
        <f t="shared" si="26"/>
        <v>0</v>
      </c>
      <c r="X69" s="75"/>
      <c r="Y69" s="199" t="e">
        <f t="shared" si="8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3">
        <v>136.8</v>
      </c>
      <c r="E70" s="71">
        <v>136.8</v>
      </c>
      <c r="F70" s="71">
        <v>11.82</v>
      </c>
      <c r="G70" s="94">
        <v>11.82</v>
      </c>
      <c r="H70" s="71">
        <f t="shared" si="25"/>
        <v>0</v>
      </c>
      <c r="I70" s="209">
        <f t="shared" si="23"/>
        <v>1</v>
      </c>
      <c r="J70" s="72">
        <f t="shared" si="27"/>
        <v>-124.98000000000002</v>
      </c>
      <c r="K70" s="75">
        <f t="shared" si="24"/>
        <v>0.08640350877192982</v>
      </c>
      <c r="L70" s="72"/>
      <c r="M70" s="72"/>
      <c r="N70" s="72"/>
      <c r="O70" s="72">
        <v>135.42</v>
      </c>
      <c r="P70" s="72">
        <f t="shared" si="28"/>
        <v>1.3800000000000239</v>
      </c>
      <c r="Q70" s="75">
        <f t="shared" si="29"/>
        <v>1.01019051838724</v>
      </c>
      <c r="R70" s="72">
        <v>7.27</v>
      </c>
      <c r="S70" s="203">
        <f t="shared" si="5"/>
        <v>4.550000000000001</v>
      </c>
      <c r="T70" s="204">
        <f t="shared" si="30"/>
        <v>1.62585969738652</v>
      </c>
      <c r="U70" s="73">
        <f t="shared" si="34"/>
        <v>11.82</v>
      </c>
      <c r="V70" s="98">
        <f t="shared" si="34"/>
        <v>11.82</v>
      </c>
      <c r="W70" s="74">
        <f t="shared" si="26"/>
        <v>0</v>
      </c>
      <c r="X70" s="75">
        <f t="shared" si="33"/>
        <v>1</v>
      </c>
      <c r="Y70" s="199">
        <f t="shared" si="8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2">
        <v>3</v>
      </c>
      <c r="E71" s="102">
        <v>3</v>
      </c>
      <c r="F71" s="102">
        <v>0</v>
      </c>
      <c r="G71" s="106">
        <v>0</v>
      </c>
      <c r="H71" s="102">
        <f t="shared" si="25"/>
        <v>0</v>
      </c>
      <c r="I71" s="213" t="e">
        <f t="shared" si="23"/>
        <v>#DIV/0!</v>
      </c>
      <c r="J71" s="115">
        <f t="shared" si="27"/>
        <v>-3</v>
      </c>
      <c r="K71" s="155">
        <f t="shared" si="24"/>
        <v>0</v>
      </c>
      <c r="L71" s="115"/>
      <c r="M71" s="115"/>
      <c r="N71" s="115"/>
      <c r="O71" s="115">
        <v>2.04</v>
      </c>
      <c r="P71" s="115">
        <f t="shared" si="28"/>
        <v>0.96</v>
      </c>
      <c r="Q71" s="155">
        <f t="shared" si="29"/>
        <v>1.4705882352941175</v>
      </c>
      <c r="R71" s="115">
        <v>1.67</v>
      </c>
      <c r="S71" s="115">
        <f t="shared" si="5"/>
        <v>-1.67</v>
      </c>
      <c r="T71" s="155">
        <f t="shared" si="30"/>
        <v>0</v>
      </c>
      <c r="U71" s="107">
        <f t="shared" si="34"/>
        <v>0</v>
      </c>
      <c r="V71" s="110">
        <f t="shared" si="34"/>
        <v>0</v>
      </c>
      <c r="W71" s="111">
        <f t="shared" si="26"/>
        <v>0</v>
      </c>
      <c r="X71" s="155"/>
      <c r="Y71" s="199">
        <f t="shared" si="8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2">
        <v>8170</v>
      </c>
      <c r="E72" s="102">
        <v>8170</v>
      </c>
      <c r="F72" s="102">
        <v>568.65</v>
      </c>
      <c r="G72" s="106">
        <v>568.65</v>
      </c>
      <c r="H72" s="102">
        <f t="shared" si="25"/>
        <v>0</v>
      </c>
      <c r="I72" s="213">
        <f t="shared" si="23"/>
        <v>1</v>
      </c>
      <c r="J72" s="115">
        <f t="shared" si="27"/>
        <v>-7601.35</v>
      </c>
      <c r="K72" s="155">
        <f t="shared" si="24"/>
        <v>0.06960220318237453</v>
      </c>
      <c r="L72" s="115"/>
      <c r="M72" s="115"/>
      <c r="N72" s="115"/>
      <c r="O72" s="115">
        <v>8086.92</v>
      </c>
      <c r="P72" s="115">
        <f t="shared" si="28"/>
        <v>83.07999999999993</v>
      </c>
      <c r="Q72" s="155">
        <f t="shared" si="29"/>
        <v>1.0102733797292418</v>
      </c>
      <c r="R72" s="115">
        <v>2247.33</v>
      </c>
      <c r="S72" s="115">
        <f t="shared" si="5"/>
        <v>-1678.6799999999998</v>
      </c>
      <c r="T72" s="155">
        <f t="shared" si="30"/>
        <v>0.2530335998718479</v>
      </c>
      <c r="U72" s="107">
        <f aca="true" t="shared" si="35" ref="U72:U78">F72</f>
        <v>568.65</v>
      </c>
      <c r="V72" s="110">
        <f aca="true" t="shared" si="36" ref="V72:V78">G72</f>
        <v>568.65</v>
      </c>
      <c r="W72" s="111">
        <f t="shared" si="26"/>
        <v>0</v>
      </c>
      <c r="X72" s="155">
        <f t="shared" si="33"/>
        <v>1</v>
      </c>
      <c r="Y72" s="199">
        <f aca="true" t="shared" si="37" ref="Y72:Y101">T72-Q72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3"/>
      <c r="E73" s="24"/>
      <c r="F73" s="24">
        <v>0</v>
      </c>
      <c r="G73" s="93">
        <v>0</v>
      </c>
      <c r="H73" s="102">
        <f t="shared" si="25"/>
        <v>0</v>
      </c>
      <c r="I73" s="213" t="e">
        <f>G73/F73*100</f>
        <v>#DIV/0!</v>
      </c>
      <c r="J73" s="115">
        <f t="shared" si="27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0"/>
        <v>#DIV/0!</v>
      </c>
      <c r="U73" s="107">
        <f t="shared" si="35"/>
        <v>0</v>
      </c>
      <c r="V73" s="110">
        <f t="shared" si="36"/>
        <v>0</v>
      </c>
      <c r="W73" s="111">
        <f t="shared" si="26"/>
        <v>0</v>
      </c>
      <c r="X73" s="155" t="e">
        <f t="shared" si="33"/>
        <v>#DIV/0!</v>
      </c>
      <c r="Y73" s="199" t="e">
        <f t="shared" si="37"/>
        <v>#DIV/0!</v>
      </c>
    </row>
    <row r="74" spans="1:25" s="6" customFormat="1" ht="30.75" hidden="1">
      <c r="A74" s="8"/>
      <c r="B74" s="41" t="s">
        <v>37</v>
      </c>
      <c r="C74" s="49"/>
      <c r="D74" s="253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0"/>
        <v>0</v>
      </c>
      <c r="U74" s="107">
        <f t="shared" si="35"/>
        <v>0</v>
      </c>
      <c r="V74" s="110">
        <f t="shared" si="36"/>
        <v>0</v>
      </c>
      <c r="W74" s="116">
        <f t="shared" si="26"/>
        <v>0</v>
      </c>
      <c r="X74" s="155"/>
      <c r="Y74" s="199">
        <f t="shared" si="37"/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4"/>
      <c r="E75" s="27"/>
      <c r="F75" s="27">
        <v>0</v>
      </c>
      <c r="G75" s="95">
        <v>0</v>
      </c>
      <c r="H75" s="102">
        <f t="shared" si="25"/>
        <v>0</v>
      </c>
      <c r="I75" s="213" t="e">
        <f>G75/F75*100</f>
        <v>#DIV/0!</v>
      </c>
      <c r="J75" s="115">
        <f t="shared" si="27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0"/>
        <v>#DIV/0!</v>
      </c>
      <c r="U75" s="107">
        <f t="shared" si="35"/>
        <v>0</v>
      </c>
      <c r="V75" s="110">
        <f t="shared" si="36"/>
        <v>0</v>
      </c>
      <c r="W75" s="111">
        <f t="shared" si="26"/>
        <v>0</v>
      </c>
      <c r="X75" s="155" t="e">
        <f t="shared" si="33"/>
        <v>#DIV/0!</v>
      </c>
      <c r="Y75" s="199" t="e">
        <f t="shared" si="37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5"/>
        <v>0</v>
      </c>
      <c r="I76" s="213" t="e">
        <f>G76/F76</f>
        <v>#DIV/0!</v>
      </c>
      <c r="J76" s="115">
        <f t="shared" si="27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0"/>
        <v>0</v>
      </c>
      <c r="U76" s="107">
        <f t="shared" si="35"/>
        <v>0</v>
      </c>
      <c r="V76" s="110">
        <f t="shared" si="36"/>
        <v>0</v>
      </c>
      <c r="W76" s="111">
        <f t="shared" si="26"/>
        <v>0</v>
      </c>
      <c r="X76" s="155" t="e">
        <f t="shared" si="33"/>
        <v>#DIV/0!</v>
      </c>
      <c r="Y76" s="199">
        <f t="shared" si="37"/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3.77</v>
      </c>
      <c r="G77" s="106">
        <v>3.77</v>
      </c>
      <c r="H77" s="102">
        <f t="shared" si="25"/>
        <v>0</v>
      </c>
      <c r="I77" s="213">
        <f>G77/F77</f>
        <v>1</v>
      </c>
      <c r="J77" s="115">
        <f t="shared" si="27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0"/>
        <v>2.530201342281879</v>
      </c>
      <c r="U77" s="107">
        <f t="shared" si="35"/>
        <v>3.77</v>
      </c>
      <c r="V77" s="110">
        <f t="shared" si="36"/>
        <v>3.77</v>
      </c>
      <c r="W77" s="111">
        <f t="shared" si="26"/>
        <v>0</v>
      </c>
      <c r="X77" s="155">
        <f t="shared" si="33"/>
        <v>1</v>
      </c>
      <c r="Y77" s="199">
        <f t="shared" si="37"/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8"/>
      <c r="E78" s="102"/>
      <c r="F78" s="102">
        <f>E78</f>
        <v>0</v>
      </c>
      <c r="G78" s="106">
        <v>0</v>
      </c>
      <c r="H78" s="102">
        <f t="shared" si="25"/>
        <v>0</v>
      </c>
      <c r="I78" s="213" t="e">
        <f>G78/F78</f>
        <v>#DIV/0!</v>
      </c>
      <c r="J78" s="115">
        <f t="shared" si="27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0"/>
        <v>#DIV/0!</v>
      </c>
      <c r="U78" s="107">
        <f t="shared" si="35"/>
        <v>0</v>
      </c>
      <c r="V78" s="110">
        <f t="shared" si="36"/>
        <v>0</v>
      </c>
      <c r="W78" s="111">
        <f t="shared" si="26"/>
        <v>0</v>
      </c>
      <c r="X78" s="155"/>
      <c r="Y78" s="199" t="e">
        <f t="shared" si="37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 t="shared" si="37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 t="shared" si="37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 t="shared" si="37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 t="shared" si="37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 t="shared" si="37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 t="shared" si="37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 t="shared" si="37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 t="shared" si="37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9">
        <f t="shared" si="37"/>
        <v>0</v>
      </c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9">
        <f t="shared" si="37"/>
        <v>20155.420305071737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9">
        <f t="shared" si="37"/>
        <v>5.8748808807120305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9">
        <f t="shared" si="37"/>
        <v>0.47098835427749086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9">
        <f t="shared" si="37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9">
        <f t="shared" si="37"/>
        <v>8.878595804807398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9" t="e">
        <f t="shared" si="37"/>
        <v>#DIV/0!</v>
      </c>
    </row>
    <row r="94" spans="2:25" ht="18" hidden="1">
      <c r="B94" s="166" t="s">
        <v>47</v>
      </c>
      <c r="C94" s="58">
        <v>24061600</v>
      </c>
      <c r="D94" s="255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9" t="e">
        <f t="shared" si="37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9">
        <f t="shared" si="37"/>
        <v>39.2254454292993</v>
      </c>
    </row>
    <row r="96" spans="2:25" ht="31.5" hidden="1">
      <c r="B96" s="20" t="s">
        <v>45</v>
      </c>
      <c r="C96" s="58">
        <v>19050000</v>
      </c>
      <c r="D96" s="255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9" t="e">
        <f t="shared" si="37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9">
        <f t="shared" si="37"/>
        <v>38.06712299703705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9">
        <f t="shared" si="37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 t="shared" si="37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 t="shared" si="37"/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 t="shared" si="37"/>
        <v>0.016325691363779926</v>
      </c>
    </row>
    <row r="102" spans="2:25" ht="15">
      <c r="B102" s="258" t="s">
        <v>142</v>
      </c>
      <c r="D102" s="4"/>
      <c r="F102" s="78"/>
      <c r="G102" s="4"/>
      <c r="Y102" s="199"/>
    </row>
    <row r="103" spans="2:25" ht="15">
      <c r="B103" s="4" t="s">
        <v>143</v>
      </c>
      <c r="C103" s="259">
        <v>0</v>
      </c>
      <c r="D103" s="4" t="s">
        <v>144</v>
      </c>
      <c r="F103" s="78"/>
      <c r="G103" s="4"/>
      <c r="Y103" s="199"/>
    </row>
    <row r="104" spans="2:25" ht="30.75">
      <c r="B104" s="260" t="s">
        <v>145</v>
      </c>
      <c r="C104" s="261" t="e">
        <f>IF(W79&lt;0,ABS(W79/C103),0)</f>
        <v>#DIV/0!</v>
      </c>
      <c r="D104" s="4" t="s">
        <v>24</v>
      </c>
      <c r="F104" s="78"/>
      <c r="G104" s="261" t="e">
        <f>IF(H79&lt;0,ABS(H79/C103),0)</f>
        <v>#DIV/0!</v>
      </c>
      <c r="H104" s="262"/>
      <c r="I104" s="262"/>
      <c r="J104" s="262"/>
      <c r="V104" s="261" t="e">
        <f>IF(W79&lt;0,ABS(W79/C103),0)</f>
        <v>#DIV/0!</v>
      </c>
      <c r="Y104" s="199"/>
    </row>
    <row r="105" spans="2:25" ht="30.75">
      <c r="B105" s="263" t="s">
        <v>146</v>
      </c>
      <c r="C105" s="264">
        <v>43129</v>
      </c>
      <c r="D105" s="261"/>
      <c r="E105" s="261">
        <v>2330.8</v>
      </c>
      <c r="F105" s="78"/>
      <c r="G105" s="4" t="s">
        <v>147</v>
      </c>
      <c r="Y105" s="199"/>
    </row>
    <row r="106" spans="3:25" ht="15">
      <c r="C106" s="264">
        <v>43130</v>
      </c>
      <c r="D106" s="261"/>
      <c r="E106" s="261">
        <v>15629.9</v>
      </c>
      <c r="F106" s="78"/>
      <c r="G106" s="278"/>
      <c r="H106" s="278"/>
      <c r="I106" s="265"/>
      <c r="J106" s="266"/>
      <c r="Y106" s="199"/>
    </row>
    <row r="107" spans="3:25" ht="15">
      <c r="C107" s="264">
        <v>43131</v>
      </c>
      <c r="D107" s="261"/>
      <c r="E107" s="261">
        <v>15417.7</v>
      </c>
      <c r="F107" s="78"/>
      <c r="G107" s="278"/>
      <c r="H107" s="278"/>
      <c r="I107" s="265"/>
      <c r="J107" s="267"/>
      <c r="Y107" s="199"/>
    </row>
    <row r="108" spans="3:25" ht="15">
      <c r="C108" s="264"/>
      <c r="D108" s="4"/>
      <c r="F108" s="268"/>
      <c r="G108" s="279"/>
      <c r="H108" s="279"/>
      <c r="I108" s="269"/>
      <c r="J108" s="266"/>
      <c r="Y108" s="199"/>
    </row>
    <row r="109" spans="2:25" ht="16.5">
      <c r="B109" s="280" t="s">
        <v>148</v>
      </c>
      <c r="C109" s="280"/>
      <c r="D109" s="270"/>
      <c r="E109" s="270">
        <f>3396166.95/1000</f>
        <v>3396.1669500000003</v>
      </c>
      <c r="F109" s="271" t="s">
        <v>149</v>
      </c>
      <c r="G109" s="278"/>
      <c r="H109" s="278"/>
      <c r="I109" s="272"/>
      <c r="J109" s="266"/>
      <c r="Y109" s="199"/>
    </row>
  </sheetData>
  <sheetProtection/>
  <mergeCells count="27">
    <mergeCell ref="X4:X5"/>
    <mergeCell ref="L5:N5"/>
    <mergeCell ref="O5:Q5"/>
    <mergeCell ref="R5:T5"/>
    <mergeCell ref="G4:G5"/>
    <mergeCell ref="H4:H5"/>
    <mergeCell ref="I4:I5"/>
    <mergeCell ref="J4:J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B109:C109"/>
    <mergeCell ref="G109:H109"/>
    <mergeCell ref="V3:X3"/>
    <mergeCell ref="F4:F5"/>
    <mergeCell ref="G106:H106"/>
    <mergeCell ref="G107:H107"/>
    <mergeCell ref="G108:H108"/>
    <mergeCell ref="K4:K5"/>
    <mergeCell ref="V4:V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2018-04-13T08:49:07Z</cp:lastPrinted>
  <dcterms:created xsi:type="dcterms:W3CDTF">2003-07-28T11:27:56Z</dcterms:created>
  <dcterms:modified xsi:type="dcterms:W3CDTF">2018-04-13T11:39:15Z</dcterms:modified>
  <cp:category/>
  <cp:version/>
  <cp:contentType/>
  <cp:contentStatus/>
</cp:coreProperties>
</file>